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enan Çılman\Desktop\İTÜSEM\Finansal Excel Dökumanları\Şablonlar\"/>
    </mc:Choice>
  </mc:AlternateContent>
  <bookViews>
    <workbookView xWindow="240" yWindow="120" windowWidth="14940" windowHeight="9225"/>
  </bookViews>
  <sheets>
    <sheet name="Intro" sheetId="23" r:id="rId1"/>
    <sheet name="Graphs" sheetId="1" r:id="rId2"/>
    <sheet name="Inputs" sheetId="2" r:id="rId3"/>
    <sheet name="IncStmt" sheetId="3" r:id="rId4"/>
    <sheet name="BalSht" sheetId="4" r:id="rId5"/>
    <sheet name="CFStmt" sheetId="5" r:id="rId6"/>
    <sheet name="RatioRpt" sheetId="6" r:id="rId7"/>
    <sheet name="Sales" sheetId="7" r:id="rId8"/>
    <sheet name="Cogs GM" sheetId="8" r:id="rId9"/>
    <sheet name="OpExp" sheetId="9" r:id="rId10"/>
    <sheet name="Indirect Labor" sheetId="10" r:id="rId11"/>
    <sheet name="FinTax" sheetId="11" r:id="rId12"/>
    <sheet name="Assets" sheetId="12" r:id="rId13"/>
    <sheet name="Liab" sheetId="13" r:id="rId14"/>
    <sheet name="Equity" sheetId="14" r:id="rId15"/>
    <sheet name="Formulas" sheetId="15" r:id="rId16"/>
    <sheet name="Plot Support" sheetId="16" state="hidden" r:id="rId17"/>
    <sheet name="(Compute)" sheetId="17" state="hidden" r:id="rId18"/>
    <sheet name="(FnCalls 1)" sheetId="18" state="hidden" r:id="rId19"/>
    <sheet name="(Tables)" sheetId="19" state="hidden" r:id="rId20"/>
    <sheet name="Labels" sheetId="20" r:id="rId21"/>
    <sheet name="(Ranges)" sheetId="21" state="hidden" r:id="rId22"/>
    <sheet name="(Import)" sheetId="22" state="hidden" r:id="rId23"/>
  </sheets>
  <definedNames>
    <definedName name="Assets_Assets">'(Ranges)'!$A$6:$G$6</definedName>
    <definedName name="Assets_Assets_Long">'(Ranges)'!$A$5:$G$5</definedName>
    <definedName name="Assets_Assets_Short">'(Ranges)'!$A$4:$G$4</definedName>
    <definedName name="Assets_Assets_Short_AcctsRec">'(Ranges)'!$A$2:$G$2</definedName>
    <definedName name="Assets_Assets_Short_Cash">'(Ranges)'!$A$1:$G$1</definedName>
    <definedName name="Assets_Assets_Short_Inventory">'(Ranges)'!$A$3:$G$3</definedName>
    <definedName name="Assets_Date">'(Compute)'!$B$247:$H$247</definedName>
    <definedName name="Assets_Time_Period">'(Compute)'!$B$250:$H$250</definedName>
    <definedName name="Depts_plt">'Plot Support'!$B$6:$B$7</definedName>
    <definedName name="Employee_Count_Date">'(Compute)'!$B$211:$G$211</definedName>
    <definedName name="Employee_Count_Depts">'Indirect Labor'!$B$11:$G$11</definedName>
    <definedName name="Employee_Count_Depts_Marketing">'Indirect Labor'!$B$10:$G$10</definedName>
    <definedName name="Employee_Count_Depts_Marketing_Job_Levels">'Indirect Labor'!$B$10:$G$10</definedName>
    <definedName name="Employee_Count_Depts_Marketing_Job_Levels_Job_Level_1">'Indirect Labor'!$B$29:$G$29</definedName>
    <definedName name="Employee_Count_Depts_Marketing_Job_Levels_Job_Level_2">'Indirect Labor'!$B$30:$G$30</definedName>
    <definedName name="Employee_Count_Depts_Sales">'Indirect Labor'!$B$9:$G$9</definedName>
    <definedName name="Employee_Count_Depts_Sales_Job_Levels">'Indirect Labor'!$B$9:$G$9</definedName>
    <definedName name="Employee_Count_Depts_Sales_Job_Levels_Job_Level_1">'Indirect Labor'!$B$25:$G$25</definedName>
    <definedName name="Employee_Count_Depts_Sales_Job_Levels_Job_Level_2">'Indirect Labor'!$B$26:$G$26</definedName>
    <definedName name="Employee_Count_Time_Period">'(Compute)'!$B$214:$G$214</definedName>
    <definedName name="Employee_Count1_K_off_Date">'(Compute)'!$B$193:$G$193</definedName>
    <definedName name="Employee_Count1_K_off_Depts">'(Tables)'!$B$164:$G$164</definedName>
    <definedName name="Employee_Count1_K_off_Depts_Marketing">'(Tables)'!$B$163:$G$163</definedName>
    <definedName name="Employee_Count1_K_off_Depts_Marketing_Job_Levels">'(Tables)'!$B$163:$G$163</definedName>
    <definedName name="Employee_Count1_K_off_Depts_Marketing_Job_Levels_Job_Level_1">Inputs!$D$75:$I$75</definedName>
    <definedName name="Employee_Count1_K_off_Depts_Marketing_Job_Levels_Job_Level_2">Inputs!$D$76:$I$76</definedName>
    <definedName name="Employee_Count1_K_off_Depts_Sales">'(Tables)'!$B$159:$G$159</definedName>
    <definedName name="Employee_Count1_K_off_Depts_Sales_Job_Levels">'(Tables)'!$B$159:$G$159</definedName>
    <definedName name="Employee_Count1_K_off_Depts_Sales_Job_Levels_Job_Level_1">Inputs!$D$73:$I$73</definedName>
    <definedName name="Employee_Count1_K_off_Depts_Sales_Job_Levels_Job_Level_2">Inputs!$D$74:$I$74</definedName>
    <definedName name="Employee_Count1_K_off_Time_Period">'(Compute)'!$B$196:$G$196</definedName>
    <definedName name="Equity_Date">'(Compute)'!$B$259:$H$259</definedName>
    <definedName name="Equity_Equity">'(Ranges)'!$A$17:$G$17</definedName>
    <definedName name="Equity_Equity_PaidinCap">'(Ranges)'!$A$15:$G$15</definedName>
    <definedName name="Equity_Equity_RetainedEarnings">'(Ranges)'!$A$16:$G$16</definedName>
    <definedName name="Equity_Time_Period">'(Compute)'!$B$262:$H$262</definedName>
    <definedName name="Gross_Margin_Date">'(Compute)'!$B$229:$G$229</definedName>
    <definedName name="Gross_Margin_Prod_Date">'(Compute)'!$B$235:$G$235</definedName>
    <definedName name="Gross_Margin_Prod_Products">'(Tables)'!$B$267:$G$267</definedName>
    <definedName name="Gross_Margin_Prod_Products_Product_1">'(Tables)'!$B$262:$G$262</definedName>
    <definedName name="Gross_Margin_Prod_Products_Product_1_Sales_Locations">'(Tables)'!$B$262:$G$262</definedName>
    <definedName name="Gross_Margin_Prod_Products_Product_1_Sales_Locations_Location_1">'(Tables)'!$B$260:$G$260</definedName>
    <definedName name="Gross_Margin_Prod_Products_Product_1_Sales_Locations_Location_2">'(Tables)'!$B$261:$G$261</definedName>
    <definedName name="Gross_Margin_Prod_Products_Product_2">'(Tables)'!$B$266:$G$266</definedName>
    <definedName name="Gross_Margin_Prod_Products_Product_2_Sales_Locations">'(Tables)'!$B$266:$G$266</definedName>
    <definedName name="Gross_Margin_Prod_Products_Product_2_Sales_Locations_Location_1">'(Tables)'!$B$264:$G$264</definedName>
    <definedName name="Gross_Margin_Prod_Products_Product_2_Sales_Locations_Location_2">'(Tables)'!$B$265:$G$265</definedName>
    <definedName name="Gross_Margin_Prod_Time_Period">'(Compute)'!$B$238:$G$238</definedName>
    <definedName name="Gross_Margin_Sales_Locations">IncStmt!$B$10:$G$10</definedName>
    <definedName name="Gross_Margin_Sales_Locations_Location_1">'Cogs GM'!$B$17:$G$17</definedName>
    <definedName name="Gross_Margin_Sales_Locations_Location_2">'Cogs GM'!$B$21:$G$21</definedName>
    <definedName name="Gross_Margin_Time_Period">'(Compute)'!$B$232:$G$232</definedName>
    <definedName name="Liabilities_Date">'(Compute)'!$B$253:$H$253</definedName>
    <definedName name="Liabilities_Liabilities">'(Ranges)'!$A$14:$G$14</definedName>
    <definedName name="Liabilities_Liabilities_Long">'(Ranges)'!$A$13:$G$13</definedName>
    <definedName name="Liabilities_Liabilities_Long_Bonds">'(Ranges)'!$A$12:$G$12</definedName>
    <definedName name="Liabilities_Liabilities_Long_Long_Term_Loans">'(Ranges)'!$A$11:$G$11</definedName>
    <definedName name="Liabilities_Liabilities_Short">'(Ranges)'!$A$10:$G$10</definedName>
    <definedName name="Liabilities_Liabilities_Short_AcctsPay">'(Ranges)'!$A$7:$G$7</definedName>
    <definedName name="Liabilities_Liabilities_Short_Deferred_Revenue">'(Ranges)'!$A$9:$G$9</definedName>
    <definedName name="Liabilities_Liabilities_Short_ShortDebt">'(Ranges)'!$A$8:$G$8</definedName>
    <definedName name="Liabilities_Time_Period">'(Compute)'!$B$256:$H$256</definedName>
    <definedName name="Model_Start_Date">Labels!$B$3</definedName>
    <definedName name="Net_Income">IncStmt!$B$21:$G$21</definedName>
    <definedName name="Net_Income_Date">'(Compute)'!$B$241:$G$241</definedName>
    <definedName name="Net_Income_Time_Period">'(Compute)'!$B$244:$G$244</definedName>
    <definedName name="Operating_Exp_Date">'(Compute)'!$B$217:$G$217</definedName>
    <definedName name="Operating_Exp_Depts">IncStmt!$B$13:$G$13</definedName>
    <definedName name="Operating_Exp_Depts_Marketing">OpExp!$B$9:$G$9</definedName>
    <definedName name="Operating_Exp_Depts_Marketing_OpExpType">OpExp!$B$9:$G$9</definedName>
    <definedName name="Operating_Exp_Depts_Marketing_OpExpType_Dept_Exp_Accts">OpExp!$B$28:$G$28</definedName>
    <definedName name="Operating_Exp_Depts_Marketing_OpExpType_Employee_Rel_Exp">OpExp!$B$27:$G$27</definedName>
    <definedName name="Operating_Exp_Depts_Marketing_OpExpType_Facil_Util_Exp">OpExp!$B$30:$G$30</definedName>
    <definedName name="Operating_Exp_Depts_Marketing_OpExpType_Gen_Admin_Exp">OpExp!$B$31:$G$31</definedName>
    <definedName name="Operating_Exp_Depts_Marketing_OpExpType_Indir_Labor_Exp">OpExp!$B$26:$G$26</definedName>
    <definedName name="Operating_Exp_Depts_Marketing_OpExpType_Programs">OpExp!$B$29:$G$29</definedName>
    <definedName name="Operating_Exp_Depts_Sales">OpExp!$B$8:$G$8</definedName>
    <definedName name="Operating_Exp_Depts_Sales_OpExpType">OpExp!$B$8:$G$8</definedName>
    <definedName name="Operating_Exp_Depts_Sales_OpExpType_Dept_Exp_Accts">OpExp!$B$20:$G$20</definedName>
    <definedName name="Operating_Exp_Depts_Sales_OpExpType_Employee_Rel_Exp">OpExp!$B$19:$G$19</definedName>
    <definedName name="Operating_Exp_Depts_Sales_OpExpType_Facil_Util_Exp">OpExp!$B$22:$G$22</definedName>
    <definedName name="Operating_Exp_Depts_Sales_OpExpType_Gen_Admin_Exp">OpExp!$B$23:$G$23</definedName>
    <definedName name="Operating_Exp_Depts_Sales_OpExpType_Indir_Labor_Exp">OpExp!$B$18:$G$18</definedName>
    <definedName name="Operating_Exp_Depts_Sales_OpExpType_Programs">OpExp!$B$21:$G$21</definedName>
    <definedName name="Operating_Exp_Time_Period">'(Compute)'!$B$220:$G$220</definedName>
    <definedName name="Operating_Margin">IncStmt!$B$15:$G$15</definedName>
    <definedName name="Operating_Margin_Date">'(Compute)'!$B$223:$G$223</definedName>
    <definedName name="Operating_Margin_Time_Period">'(Compute)'!$B$226:$G$226</definedName>
    <definedName name="Products_plt">'Plot Support'!$B$10:$B$11</definedName>
    <definedName name="Revenue_Date">'(Compute)'!$B$205:$G$205</definedName>
    <definedName name="Revenue_Orders_Date">'(Compute)'!$B$199:$G$199</definedName>
    <definedName name="Revenue_Orders_Sales_Locations">'(Tables)'!$B$172:$G$172</definedName>
    <definedName name="Revenue_Orders_Sales_Locations_Location_1">'(Tables)'!$B$170:$G$170</definedName>
    <definedName name="Revenue_Orders_Sales_Locations_Location_2">'(Tables)'!$B$171:$G$171</definedName>
    <definedName name="Revenue_Orders_Time_Period">'(Compute)'!$B$202:$G$202</definedName>
    <definedName name="Revenue_Prod_Date">'(Compute)'!$B$187:$G$187</definedName>
    <definedName name="Revenue_Prod_Products">Sales!$B$8:$G$8</definedName>
    <definedName name="Revenue_Prod_Products_Product_1">Sales!$B$34:$G$34</definedName>
    <definedName name="Revenue_Prod_Products_Product_1_Sales_Locations">Sales!$B$34:$G$34</definedName>
    <definedName name="Revenue_Prod_Products_Product_1_Sales_Locations_Location_1">Sales!$B$32:$G$32</definedName>
    <definedName name="Revenue_Prod_Products_Product_1_Sales_Locations_Location_2">Sales!$B$33:$G$33</definedName>
    <definedName name="Revenue_Prod_Products_Product_2">Sales!$B$38:$G$38</definedName>
    <definedName name="Revenue_Prod_Products_Product_2_Sales_Locations">Sales!$B$38:$G$38</definedName>
    <definedName name="Revenue_Prod_Products_Product_2_Sales_Locations_Location_1">Sales!$B$36:$G$36</definedName>
    <definedName name="Revenue_Prod_Products_Product_2_Sales_Locations_Location_2">Sales!$B$37:$G$37</definedName>
    <definedName name="Revenue_Prod_Time_Period">'(Compute)'!$B$190:$G$190</definedName>
    <definedName name="Revenue_Sales_Locations">IncStmt!$B$6:$G$6</definedName>
    <definedName name="Revenue_Sales_Locations_Location_1">Sales!$B$23:$G$23</definedName>
    <definedName name="Revenue_Sales_Locations_Location_2">Sales!$B$24:$G$24</definedName>
    <definedName name="Revenue_Time_Period">'(Compute)'!$B$208:$G$208</definedName>
  </definedNames>
  <calcPr calcId="152511"/>
</workbook>
</file>

<file path=xl/calcChain.xml><?xml version="1.0" encoding="utf-8"?>
<calcChain xmlns="http://schemas.openxmlformats.org/spreadsheetml/2006/main">
  <c r="A1" i="2" l="1"/>
  <c r="A3" i="2"/>
  <c r="A4" i="2"/>
  <c r="A5" i="2"/>
  <c r="A6" i="2"/>
  <c r="A7" i="2"/>
  <c r="A10" i="2"/>
  <c r="A11" i="2"/>
  <c r="A12" i="2"/>
  <c r="A13" i="2"/>
  <c r="A14" i="2"/>
  <c r="D14" i="2"/>
  <c r="A16" i="2"/>
  <c r="A18" i="2"/>
  <c r="B18" i="2"/>
  <c r="C18" i="2"/>
  <c r="C19" i="2"/>
  <c r="B20" i="2"/>
  <c r="C20" i="2"/>
  <c r="C21" i="2"/>
  <c r="A23" i="2"/>
  <c r="B23" i="2"/>
  <c r="C23" i="2"/>
  <c r="D23" i="2"/>
  <c r="E23" i="2" s="1"/>
  <c r="F23" i="2" s="1"/>
  <c r="G23" i="2" s="1"/>
  <c r="H23" i="2" s="1"/>
  <c r="I23" i="2" s="1"/>
  <c r="C24" i="2"/>
  <c r="D24" i="2"/>
  <c r="E24" i="2"/>
  <c r="F24" i="2" s="1"/>
  <c r="G24" i="2" s="1"/>
  <c r="H24" i="2" s="1"/>
  <c r="I24" i="2" s="1"/>
  <c r="B25" i="2"/>
  <c r="C25" i="2"/>
  <c r="D25" i="2"/>
  <c r="E25" i="2"/>
  <c r="F25" i="2" s="1"/>
  <c r="G25" i="2" s="1"/>
  <c r="H25" i="2" s="1"/>
  <c r="I25" i="2" s="1"/>
  <c r="C26" i="2"/>
  <c r="D26" i="2"/>
  <c r="E26" i="2" s="1"/>
  <c r="F26" i="2" s="1"/>
  <c r="A29" i="2"/>
  <c r="A30" i="2"/>
  <c r="A31" i="2"/>
  <c r="A33" i="2"/>
  <c r="B33" i="2"/>
  <c r="D33" i="2"/>
  <c r="E33" i="2" s="1"/>
  <c r="B34" i="2"/>
  <c r="D34" i="2"/>
  <c r="A36" i="2"/>
  <c r="B36" i="2"/>
  <c r="C36" i="2"/>
  <c r="D36" i="2"/>
  <c r="E36" i="2"/>
  <c r="F36" i="2"/>
  <c r="G36" i="2"/>
  <c r="C37" i="2"/>
  <c r="D37" i="2"/>
  <c r="B38" i="2"/>
  <c r="C38" i="2"/>
  <c r="D38" i="2"/>
  <c r="E38" i="2" s="1"/>
  <c r="C39" i="2"/>
  <c r="D39" i="2"/>
  <c r="E39" i="2"/>
  <c r="A44" i="2"/>
  <c r="A45" i="2"/>
  <c r="A46" i="2"/>
  <c r="A47" i="2"/>
  <c r="A48" i="2"/>
  <c r="A49" i="2"/>
  <c r="A51" i="2"/>
  <c r="B51" i="2"/>
  <c r="E51" i="2"/>
  <c r="F51" i="2" s="1"/>
  <c r="G51" i="2" s="1"/>
  <c r="H51" i="2" s="1"/>
  <c r="B52" i="2"/>
  <c r="E52" i="2"/>
  <c r="F52" i="2" s="1"/>
  <c r="G52" i="2" s="1"/>
  <c r="H52" i="2" s="1"/>
  <c r="I52" i="2" s="1"/>
  <c r="A54" i="2"/>
  <c r="D54" i="2"/>
  <c r="E54" i="2"/>
  <c r="F54" i="2" s="1"/>
  <c r="G54" i="2" s="1"/>
  <c r="H54" i="2" s="1"/>
  <c r="I54" i="2" s="1"/>
  <c r="J54" i="2" s="1"/>
  <c r="A56" i="2"/>
  <c r="A57" i="2"/>
  <c r="A60" i="2"/>
  <c r="A61" i="2"/>
  <c r="A63" i="2"/>
  <c r="B63" i="2"/>
  <c r="D63" i="2"/>
  <c r="E63" i="2" s="1"/>
  <c r="F63" i="2" s="1"/>
  <c r="G63" i="2" s="1"/>
  <c r="H63" i="2" s="1"/>
  <c r="I63" i="2" s="1"/>
  <c r="G61" i="19" s="1"/>
  <c r="B64" i="2"/>
  <c r="D64" i="2"/>
  <c r="E64" i="2"/>
  <c r="F64" i="2" s="1"/>
  <c r="G64" i="2" s="1"/>
  <c r="H64" i="2" s="1"/>
  <c r="I64" i="2" s="1"/>
  <c r="G129" i="19" s="1"/>
  <c r="A69" i="2"/>
  <c r="E70" i="2"/>
  <c r="A71" i="2"/>
  <c r="A73" i="2"/>
  <c r="B73" i="2"/>
  <c r="C73" i="2"/>
  <c r="C74" i="2"/>
  <c r="B75" i="2"/>
  <c r="C75" i="2"/>
  <c r="C76" i="2"/>
  <c r="A77" i="2"/>
  <c r="A79" i="2"/>
  <c r="D80" i="2"/>
  <c r="E80" i="2"/>
  <c r="A81" i="2"/>
  <c r="B81" i="2"/>
  <c r="D81" i="2"/>
  <c r="E81" i="2"/>
  <c r="B82" i="2"/>
  <c r="D82" i="2"/>
  <c r="E82" i="2"/>
  <c r="A85" i="2"/>
  <c r="D85" i="2"/>
  <c r="E85" i="2"/>
  <c r="F85" i="2" s="1"/>
  <c r="G85" i="2" s="1"/>
  <c r="H85" i="2" s="1"/>
  <c r="I85" i="2" s="1"/>
  <c r="G82" i="10" s="1"/>
  <c r="A86" i="2"/>
  <c r="D86" i="2"/>
  <c r="A89" i="2"/>
  <c r="B89" i="2"/>
  <c r="C89" i="2"/>
  <c r="D89" i="2"/>
  <c r="E89" i="2"/>
  <c r="F89" i="2"/>
  <c r="G89" i="2" s="1"/>
  <c r="H89" i="2" s="1"/>
  <c r="I89" i="2" s="1"/>
  <c r="C90" i="2"/>
  <c r="D90" i="2"/>
  <c r="E90" i="2" s="1"/>
  <c r="F90" i="2" s="1"/>
  <c r="G90" i="2" s="1"/>
  <c r="H90" i="2" s="1"/>
  <c r="I90" i="2" s="1"/>
  <c r="B91" i="2"/>
  <c r="C91" i="2"/>
  <c r="D91" i="2"/>
  <c r="E91" i="2" s="1"/>
  <c r="F91" i="2" s="1"/>
  <c r="G91" i="2" s="1"/>
  <c r="C92" i="2"/>
  <c r="D92" i="2"/>
  <c r="E92" i="2" s="1"/>
  <c r="F92" i="2" s="1"/>
  <c r="G92" i="2" s="1"/>
  <c r="H92" i="2"/>
  <c r="I92" i="2" s="1"/>
  <c r="A94" i="2"/>
  <c r="D94" i="2"/>
  <c r="E94" i="2"/>
  <c r="F94" i="2" s="1"/>
  <c r="G94" i="2" s="1"/>
  <c r="H94" i="2" s="1"/>
  <c r="I94" i="2" s="1"/>
  <c r="A95" i="2"/>
  <c r="D95" i="2"/>
  <c r="E95" i="2" s="1"/>
  <c r="F95" i="2"/>
  <c r="G95" i="2" s="1"/>
  <c r="H95" i="2" s="1"/>
  <c r="I95" i="2" s="1"/>
  <c r="A97" i="2"/>
  <c r="D97" i="2"/>
  <c r="E97" i="2" s="1"/>
  <c r="F97" i="2" s="1"/>
  <c r="G97" i="2" s="1"/>
  <c r="H97" i="2" s="1"/>
  <c r="I97" i="2" s="1"/>
  <c r="A98" i="2"/>
  <c r="D98" i="2"/>
  <c r="E98" i="2" s="1"/>
  <c r="F98" i="2" s="1"/>
  <c r="G98" i="2" s="1"/>
  <c r="H98" i="2" s="1"/>
  <c r="I98" i="2" s="1"/>
  <c r="A103" i="2"/>
  <c r="A104" i="2"/>
  <c r="A105" i="2"/>
  <c r="A106" i="2"/>
  <c r="A108" i="2"/>
  <c r="D108" i="2"/>
  <c r="E108" i="2"/>
  <c r="A109" i="2"/>
  <c r="D109" i="2"/>
  <c r="E109" i="2" s="1"/>
  <c r="C61" i="9" s="1"/>
  <c r="F109" i="2"/>
  <c r="A110" i="2"/>
  <c r="D110" i="2"/>
  <c r="E110" i="2" s="1"/>
  <c r="A111" i="2"/>
  <c r="D111" i="2"/>
  <c r="E111" i="2" s="1"/>
  <c r="F111" i="2" s="1"/>
  <c r="A112" i="2"/>
  <c r="D112" i="2"/>
  <c r="E112" i="2"/>
  <c r="F112" i="2" s="1"/>
  <c r="G112" i="2" s="1"/>
  <c r="H112" i="2" s="1"/>
  <c r="I112" i="2" s="1"/>
  <c r="A114" i="2"/>
  <c r="A115" i="2"/>
  <c r="A117" i="2"/>
  <c r="B117" i="2"/>
  <c r="C117" i="2"/>
  <c r="D117" i="2"/>
  <c r="B118" i="2"/>
  <c r="C118" i="2"/>
  <c r="D118" i="2"/>
  <c r="A120" i="2"/>
  <c r="A121" i="2"/>
  <c r="A123" i="2"/>
  <c r="B123" i="2"/>
  <c r="C123" i="2"/>
  <c r="D123" i="2"/>
  <c r="E123" i="2"/>
  <c r="F123" i="2" s="1"/>
  <c r="G123" i="2" s="1"/>
  <c r="H123" i="2" s="1"/>
  <c r="I123" i="2"/>
  <c r="C124" i="2"/>
  <c r="D124" i="2"/>
  <c r="E124" i="2" s="1"/>
  <c r="F124" i="2" s="1"/>
  <c r="C125" i="2"/>
  <c r="D125" i="2"/>
  <c r="E125" i="2" s="1"/>
  <c r="F125" i="2" s="1"/>
  <c r="G125" i="2" s="1"/>
  <c r="B126" i="2"/>
  <c r="C126" i="2"/>
  <c r="D126" i="2"/>
  <c r="E126" i="2" s="1"/>
  <c r="F126" i="2" s="1"/>
  <c r="G126" i="2" s="1"/>
  <c r="H126" i="2" s="1"/>
  <c r="I126" i="2" s="1"/>
  <c r="G200" i="19" s="1"/>
  <c r="C127" i="2"/>
  <c r="D127" i="2"/>
  <c r="E127" i="2" s="1"/>
  <c r="F127" i="2" s="1"/>
  <c r="G127" i="2" s="1"/>
  <c r="H127" i="2" s="1"/>
  <c r="I127" i="2" s="1"/>
  <c r="G201" i="19" s="1"/>
  <c r="C128" i="2"/>
  <c r="D128" i="2"/>
  <c r="E128" i="2"/>
  <c r="F128" i="2" s="1"/>
  <c r="G128" i="2" s="1"/>
  <c r="H128" i="2" s="1"/>
  <c r="I128" i="2" s="1"/>
  <c r="G202" i="19" s="1"/>
  <c r="A132" i="2"/>
  <c r="A133" i="2"/>
  <c r="A134" i="2"/>
  <c r="A135" i="2"/>
  <c r="A137" i="2"/>
  <c r="D137" i="2"/>
  <c r="E137" i="2" s="1"/>
  <c r="F137" i="2"/>
  <c r="G137" i="2" s="1"/>
  <c r="H137" i="2" s="1"/>
  <c r="I137" i="2" s="1"/>
  <c r="A138" i="2"/>
  <c r="D138" i="2"/>
  <c r="E138" i="2" s="1"/>
  <c r="F138" i="2" s="1"/>
  <c r="G138" i="2" s="1"/>
  <c r="A139" i="2"/>
  <c r="D139" i="2"/>
  <c r="E139" i="2" s="1"/>
  <c r="F139" i="2" s="1"/>
  <c r="G139" i="2" s="1"/>
  <c r="H139" i="2" s="1"/>
  <c r="A140" i="2"/>
  <c r="D140" i="2"/>
  <c r="E140" i="2"/>
  <c r="F140" i="2" s="1"/>
  <c r="G140" i="2" s="1"/>
  <c r="H140" i="2" s="1"/>
  <c r="I140" i="2" s="1"/>
  <c r="G11" i="11" s="1"/>
  <c r="A142" i="2"/>
  <c r="A143" i="2"/>
  <c r="A144" i="2"/>
  <c r="D144" i="2"/>
  <c r="E144" i="2" s="1"/>
  <c r="A148" i="2"/>
  <c r="A149" i="2"/>
  <c r="A150" i="2"/>
  <c r="A151" i="2"/>
  <c r="A152" i="2"/>
  <c r="A153" i="2"/>
  <c r="A154" i="2"/>
  <c r="A157" i="2"/>
  <c r="D157" i="2"/>
  <c r="E157" i="2" s="1"/>
  <c r="F157" i="2"/>
  <c r="G157" i="2" s="1"/>
  <c r="H157" i="2" s="1"/>
  <c r="I157" i="2" s="1"/>
  <c r="A159" i="2"/>
  <c r="A160" i="2"/>
  <c r="D161" i="2"/>
  <c r="D164" i="2"/>
  <c r="E164" i="2"/>
  <c r="A165" i="2"/>
  <c r="D165" i="2"/>
  <c r="E165" i="2"/>
  <c r="A166" i="2"/>
  <c r="D166" i="2"/>
  <c r="E166" i="2"/>
  <c r="A169" i="2"/>
  <c r="D169" i="2"/>
  <c r="E169" i="2" s="1"/>
  <c r="F169" i="2" s="1"/>
  <c r="G169" i="2" s="1"/>
  <c r="H169" i="2" s="1"/>
  <c r="I169" i="2" s="1"/>
  <c r="A171" i="2"/>
  <c r="B171" i="2"/>
  <c r="D171" i="2"/>
  <c r="E171" i="2" s="1"/>
  <c r="F171" i="2" s="1"/>
  <c r="G171" i="2" s="1"/>
  <c r="H171" i="2" s="1"/>
  <c r="I171" i="2" s="1"/>
  <c r="G66" i="19" s="1"/>
  <c r="B172" i="2"/>
  <c r="D172" i="2"/>
  <c r="E172" i="2"/>
  <c r="F172" i="2" s="1"/>
  <c r="G172" i="2" s="1"/>
  <c r="H172" i="2" s="1"/>
  <c r="I172" i="2" s="1"/>
  <c r="A175" i="2"/>
  <c r="A176" i="2"/>
  <c r="A177" i="2"/>
  <c r="A180" i="2"/>
  <c r="D180" i="2"/>
  <c r="E180" i="2"/>
  <c r="F180" i="2" s="1"/>
  <c r="G180" i="2"/>
  <c r="H180" i="2" s="1"/>
  <c r="I180" i="2" s="1"/>
  <c r="A184" i="2"/>
  <c r="A185" i="2"/>
  <c r="A186" i="2"/>
  <c r="D187" i="2"/>
  <c r="E187" i="2"/>
  <c r="F187" i="2"/>
  <c r="G187" i="2"/>
  <c r="H187" i="2"/>
  <c r="I187" i="2"/>
  <c r="J187" i="2"/>
  <c r="A188" i="2"/>
  <c r="F188" i="2"/>
  <c r="G188" i="2"/>
  <c r="H188" i="2"/>
  <c r="I188" i="2" s="1"/>
  <c r="J188" i="2"/>
  <c r="A193" i="2"/>
  <c r="A194" i="2"/>
  <c r="A195" i="2"/>
  <c r="A196" i="2"/>
  <c r="A197" i="2"/>
  <c r="A198" i="2"/>
  <c r="A199" i="2"/>
  <c r="A200" i="2"/>
  <c r="B200" i="2"/>
  <c r="D200" i="2"/>
  <c r="B201" i="2"/>
  <c r="D201" i="2"/>
  <c r="B202" i="2"/>
  <c r="D202" i="2"/>
  <c r="A205" i="2"/>
  <c r="B205" i="2"/>
  <c r="E205" i="2"/>
  <c r="F205" i="2"/>
  <c r="G205" i="2" s="1"/>
  <c r="H205" i="2" s="1"/>
  <c r="I205" i="2" s="1"/>
  <c r="J205" i="2" s="1"/>
  <c r="B206" i="2"/>
  <c r="E206" i="2"/>
  <c r="F206" i="2"/>
  <c r="G206" i="2"/>
  <c r="H206" i="2" s="1"/>
  <c r="I206" i="2" s="1"/>
  <c r="J206" i="2" s="1"/>
  <c r="B207" i="2"/>
  <c r="E207" i="2"/>
  <c r="F207" i="2" s="1"/>
  <c r="G207" i="2" s="1"/>
  <c r="H207" i="2" s="1"/>
  <c r="I207" i="2" s="1"/>
  <c r="J207" i="2" s="1"/>
  <c r="A209" i="2"/>
  <c r="A210" i="2"/>
  <c r="A211" i="2"/>
  <c r="D211" i="2"/>
  <c r="A212" i="2"/>
  <c r="A215" i="2"/>
  <c r="A216" i="2"/>
  <c r="A218" i="2"/>
  <c r="D218" i="2"/>
  <c r="E218" i="2"/>
  <c r="A223" i="2"/>
  <c r="A224" i="2"/>
  <c r="A225" i="2"/>
  <c r="A227" i="2"/>
  <c r="D227" i="2"/>
  <c r="E227" i="2"/>
  <c r="F227" i="2"/>
  <c r="G227" i="2"/>
  <c r="H227" i="2"/>
  <c r="E16" i="5" s="1"/>
  <c r="I227" i="2"/>
  <c r="J227" i="2"/>
  <c r="A229" i="2"/>
  <c r="E229" i="2"/>
  <c r="B24" i="5" s="1"/>
  <c r="F229" i="2"/>
  <c r="G229" i="2"/>
  <c r="H229" i="2"/>
  <c r="I229" i="2"/>
  <c r="F24" i="5" s="1"/>
  <c r="J229" i="2"/>
  <c r="A1" i="3"/>
  <c r="A3" i="3"/>
  <c r="A4" i="3"/>
  <c r="A6" i="3"/>
  <c r="A7" i="3"/>
  <c r="H7" i="3"/>
  <c r="A9" i="3"/>
  <c r="A10" i="3"/>
  <c r="A11" i="3"/>
  <c r="A13" i="3"/>
  <c r="A14" i="3"/>
  <c r="B14" i="3"/>
  <c r="C14" i="3"/>
  <c r="D14" i="3"/>
  <c r="H14" i="3" s="1"/>
  <c r="E14" i="3"/>
  <c r="F14" i="3"/>
  <c r="G14" i="3"/>
  <c r="A15" i="3"/>
  <c r="A16" i="3"/>
  <c r="A18" i="3"/>
  <c r="A19" i="3"/>
  <c r="A20" i="3"/>
  <c r="A21" i="3"/>
  <c r="A22" i="3"/>
  <c r="A24" i="3"/>
  <c r="C24" i="3"/>
  <c r="D24" i="3"/>
  <c r="E24" i="3"/>
  <c r="G24" i="3"/>
  <c r="A26" i="3"/>
  <c r="A27" i="3"/>
  <c r="A1" i="4"/>
  <c r="A3" i="4"/>
  <c r="A4" i="4"/>
  <c r="A6" i="4"/>
  <c r="A7" i="4"/>
  <c r="A8" i="4"/>
  <c r="A9" i="4"/>
  <c r="A10" i="4"/>
  <c r="A11" i="4"/>
  <c r="A12" i="4"/>
  <c r="A13" i="4"/>
  <c r="A15" i="4"/>
  <c r="A16" i="4"/>
  <c r="A17" i="4"/>
  <c r="A18" i="4"/>
  <c r="A19" i="4"/>
  <c r="C19" i="4"/>
  <c r="D19" i="4"/>
  <c r="E19" i="4"/>
  <c r="F19" i="4"/>
  <c r="G19" i="4"/>
  <c r="H19" i="4"/>
  <c r="I19" i="4"/>
  <c r="A20" i="4"/>
  <c r="A21" i="4"/>
  <c r="A22" i="4"/>
  <c r="A23" i="4"/>
  <c r="C23" i="4"/>
  <c r="D23" i="4"/>
  <c r="E23" i="4"/>
  <c r="F23" i="4"/>
  <c r="G23" i="4"/>
  <c r="H23" i="4"/>
  <c r="I23" i="4"/>
  <c r="A24" i="4"/>
  <c r="A25" i="4"/>
  <c r="A27" i="4"/>
  <c r="A28" i="4"/>
  <c r="A29" i="4"/>
  <c r="A30" i="4"/>
  <c r="A32" i="4"/>
  <c r="A34" i="4"/>
  <c r="A36" i="4"/>
  <c r="A37" i="4"/>
  <c r="A1" i="5"/>
  <c r="A3" i="5"/>
  <c r="A4" i="5"/>
  <c r="A6" i="5"/>
  <c r="A8" i="5"/>
  <c r="A9" i="5"/>
  <c r="A10" i="5"/>
  <c r="B10" i="5"/>
  <c r="C10" i="5"/>
  <c r="D10" i="5"/>
  <c r="E10" i="5"/>
  <c r="F10" i="5"/>
  <c r="G10" i="5"/>
  <c r="A11" i="5"/>
  <c r="A12" i="5"/>
  <c r="A13" i="5"/>
  <c r="A14" i="5"/>
  <c r="A15" i="5"/>
  <c r="A16" i="5"/>
  <c r="B16" i="5"/>
  <c r="C16" i="5"/>
  <c r="D16" i="5"/>
  <c r="F16" i="5"/>
  <c r="G16" i="5"/>
  <c r="A17" i="5"/>
  <c r="A19" i="5"/>
  <c r="A20" i="5"/>
  <c r="A21" i="5"/>
  <c r="A22" i="5"/>
  <c r="A23" i="5"/>
  <c r="B23" i="5"/>
  <c r="C23" i="5"/>
  <c r="H23" i="5" s="1"/>
  <c r="D23" i="5"/>
  <c r="E23" i="5"/>
  <c r="F23" i="5"/>
  <c r="G23" i="5"/>
  <c r="A24" i="5"/>
  <c r="C24" i="5"/>
  <c r="D24" i="5"/>
  <c r="E24" i="5"/>
  <c r="G24" i="5"/>
  <c r="A25" i="5"/>
  <c r="A27" i="5"/>
  <c r="A29" i="5"/>
  <c r="A30" i="5"/>
  <c r="A32" i="5"/>
  <c r="A34" i="5"/>
  <c r="A1" i="6"/>
  <c r="A3" i="6"/>
  <c r="A4" i="6"/>
  <c r="A5" i="6"/>
  <c r="A7" i="6"/>
  <c r="A8" i="6"/>
  <c r="A9" i="6"/>
  <c r="A11" i="6"/>
  <c r="A12" i="6"/>
  <c r="A13" i="6"/>
  <c r="A14" i="6"/>
  <c r="A16" i="6"/>
  <c r="A17" i="6"/>
  <c r="A18" i="6"/>
  <c r="A20" i="6"/>
  <c r="A21" i="6"/>
  <c r="A22" i="6"/>
  <c r="A23" i="6"/>
  <c r="A25" i="6"/>
  <c r="A26" i="6"/>
  <c r="B26" i="6"/>
  <c r="C26" i="6"/>
  <c r="D26" i="6"/>
  <c r="E26" i="6"/>
  <c r="H26" i="6" s="1"/>
  <c r="F26" i="6"/>
  <c r="G26" i="6"/>
  <c r="A27" i="6"/>
  <c r="B27" i="6"/>
  <c r="C27" i="6"/>
  <c r="D27" i="6"/>
  <c r="E27" i="6"/>
  <c r="H27" i="6" s="1"/>
  <c r="F27" i="6"/>
  <c r="G27" i="6"/>
  <c r="A28" i="6"/>
  <c r="A1" i="7"/>
  <c r="A3" i="7"/>
  <c r="A4" i="7"/>
  <c r="A5" i="7"/>
  <c r="A6" i="7"/>
  <c r="A8" i="7"/>
  <c r="A10" i="7"/>
  <c r="A11" i="7"/>
  <c r="A13" i="7"/>
  <c r="G13" i="7"/>
  <c r="A17" i="7"/>
  <c r="A18" i="7"/>
  <c r="A19" i="7"/>
  <c r="A20" i="7"/>
  <c r="A22" i="7"/>
  <c r="A23" i="7"/>
  <c r="A24" i="7"/>
  <c r="A25" i="7"/>
  <c r="A27" i="7"/>
  <c r="A28" i="7"/>
  <c r="A30" i="7"/>
  <c r="A31" i="7"/>
  <c r="A32" i="7"/>
  <c r="A33" i="7"/>
  <c r="A34" i="7"/>
  <c r="A35" i="7"/>
  <c r="A36" i="7"/>
  <c r="A37" i="7"/>
  <c r="A38" i="7"/>
  <c r="A39" i="7"/>
  <c r="A40" i="7"/>
  <c r="A41" i="7"/>
  <c r="A42" i="7"/>
  <c r="A44" i="7"/>
  <c r="A45" i="7"/>
  <c r="A47" i="7"/>
  <c r="A48" i="7"/>
  <c r="G48" i="7"/>
  <c r="A49" i="7"/>
  <c r="G49" i="7"/>
  <c r="A50" i="7"/>
  <c r="G50" i="7"/>
  <c r="A52" i="7"/>
  <c r="A53" i="7"/>
  <c r="G53" i="7"/>
  <c r="A54" i="7"/>
  <c r="G54" i="7"/>
  <c r="A55" i="7"/>
  <c r="G55" i="7"/>
  <c r="A58" i="7"/>
  <c r="A59" i="7"/>
  <c r="A60" i="7"/>
  <c r="A61" i="7"/>
  <c r="A63" i="7"/>
  <c r="A64" i="7"/>
  <c r="A65" i="7"/>
  <c r="A66" i="7"/>
  <c r="A67" i="7"/>
  <c r="A68" i="7"/>
  <c r="A69" i="7"/>
  <c r="A70" i="7"/>
  <c r="A71" i="7"/>
  <c r="A72" i="7"/>
  <c r="A73" i="7"/>
  <c r="A74" i="7"/>
  <c r="A75" i="7"/>
  <c r="A77" i="7"/>
  <c r="A78" i="7"/>
  <c r="A80" i="7"/>
  <c r="A81" i="7"/>
  <c r="G81" i="7"/>
  <c r="A82" i="7"/>
  <c r="G82" i="7"/>
  <c r="A83" i="7"/>
  <c r="G83" i="7"/>
  <c r="A88" i="7"/>
  <c r="A89" i="7"/>
  <c r="A90" i="7"/>
  <c r="A91" i="7"/>
  <c r="A92" i="7"/>
  <c r="A93" i="7"/>
  <c r="A95" i="7"/>
  <c r="A96" i="7"/>
  <c r="A97" i="7"/>
  <c r="A98" i="7"/>
  <c r="A100" i="7"/>
  <c r="A101" i="7"/>
  <c r="A103" i="7"/>
  <c r="A104" i="7"/>
  <c r="G104" i="7"/>
  <c r="A105" i="7"/>
  <c r="G105" i="7"/>
  <c r="A106" i="7"/>
  <c r="G106" i="7"/>
  <c r="A109" i="7"/>
  <c r="A110" i="7"/>
  <c r="A111" i="7"/>
  <c r="A112" i="7"/>
  <c r="A114" i="7"/>
  <c r="A115" i="7"/>
  <c r="A116" i="7"/>
  <c r="A117" i="7"/>
  <c r="A122" i="7"/>
  <c r="A123" i="7"/>
  <c r="A125" i="7"/>
  <c r="A126" i="7"/>
  <c r="A130" i="7"/>
  <c r="A131" i="7"/>
  <c r="A132" i="7"/>
  <c r="A133" i="7"/>
  <c r="A135" i="7"/>
  <c r="A136" i="7"/>
  <c r="A137" i="7"/>
  <c r="A138" i="7"/>
  <c r="A139" i="7"/>
  <c r="A140" i="7"/>
  <c r="A141" i="7"/>
  <c r="A142" i="7"/>
  <c r="A143" i="7"/>
  <c r="A144" i="7"/>
  <c r="A145" i="7"/>
  <c r="A146" i="7"/>
  <c r="A147" i="7"/>
  <c r="A149" i="7"/>
  <c r="A150" i="7"/>
  <c r="A152" i="7"/>
  <c r="A153" i="7"/>
  <c r="G153" i="7"/>
  <c r="A154" i="7"/>
  <c r="G154" i="7"/>
  <c r="A155" i="7"/>
  <c r="G155" i="7"/>
  <c r="A157" i="7"/>
  <c r="A158" i="7"/>
  <c r="B158" i="7"/>
  <c r="A159" i="7"/>
  <c r="B159" i="7"/>
  <c r="A160" i="7"/>
  <c r="B160" i="7"/>
  <c r="A163" i="7"/>
  <c r="A164" i="7"/>
  <c r="A165" i="7"/>
  <c r="A167" i="7"/>
  <c r="A168" i="7"/>
  <c r="A169" i="7"/>
  <c r="A170" i="7"/>
  <c r="A171" i="7"/>
  <c r="A172" i="7"/>
  <c r="A173" i="7"/>
  <c r="A174" i="7"/>
  <c r="A175" i="7"/>
  <c r="A176" i="7"/>
  <c r="A177" i="7"/>
  <c r="A178" i="7"/>
  <c r="A179" i="7"/>
  <c r="A184" i="7"/>
  <c r="A185" i="7"/>
  <c r="A187" i="7"/>
  <c r="A188" i="7"/>
  <c r="B188" i="7"/>
  <c r="A189" i="7"/>
  <c r="A190" i="7"/>
  <c r="A192" i="7"/>
  <c r="A193" i="7"/>
  <c r="A194" i="7"/>
  <c r="A195" i="7"/>
  <c r="A196" i="7"/>
  <c r="A197" i="7"/>
  <c r="A198" i="7"/>
  <c r="A199" i="7"/>
  <c r="A200" i="7"/>
  <c r="A201" i="7"/>
  <c r="A202" i="7"/>
  <c r="A203" i="7"/>
  <c r="A204" i="7"/>
  <c r="A206" i="7"/>
  <c r="A207" i="7"/>
  <c r="A208" i="7"/>
  <c r="B208" i="7"/>
  <c r="C208" i="7"/>
  <c r="D208" i="7"/>
  <c r="A209" i="7"/>
  <c r="A210" i="7"/>
  <c r="A211" i="7"/>
  <c r="A212" i="7"/>
  <c r="B212" i="7"/>
  <c r="A213" i="7"/>
  <c r="B213" i="7"/>
  <c r="A214" i="7"/>
  <c r="A215" i="7"/>
  <c r="A216" i="7"/>
  <c r="A217" i="7"/>
  <c r="A218" i="7"/>
  <c r="A1" i="8"/>
  <c r="A3" i="8"/>
  <c r="A4" i="8"/>
  <c r="A6" i="8"/>
  <c r="A7" i="8"/>
  <c r="A8" i="8"/>
  <c r="A11" i="8"/>
  <c r="A12" i="8"/>
  <c r="A13" i="8"/>
  <c r="A15" i="8"/>
  <c r="A16" i="8"/>
  <c r="A17" i="8"/>
  <c r="A18" i="8"/>
  <c r="A19" i="8"/>
  <c r="A20" i="8"/>
  <c r="A21" i="8"/>
  <c r="A22" i="8"/>
  <c r="A23" i="8"/>
  <c r="A24" i="8"/>
  <c r="A25" i="8"/>
  <c r="A26" i="8"/>
  <c r="A30" i="8"/>
  <c r="A31" i="8"/>
  <c r="A32" i="8"/>
  <c r="A33" i="8"/>
  <c r="A35" i="8"/>
  <c r="A36" i="8"/>
  <c r="A37" i="8"/>
  <c r="A38" i="8"/>
  <c r="A39" i="8"/>
  <c r="A40" i="8"/>
  <c r="A41" i="8"/>
  <c r="A42" i="8"/>
  <c r="A43" i="8"/>
  <c r="A47" i="8"/>
  <c r="A48" i="8"/>
  <c r="A49" i="8"/>
  <c r="A50"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4" i="8"/>
  <c r="A105" i="8"/>
  <c r="A106" i="8"/>
  <c r="A108" i="8"/>
  <c r="A109" i="8"/>
  <c r="A110" i="8"/>
  <c r="A111" i="8"/>
  <c r="A113" i="8"/>
  <c r="A114" i="8"/>
  <c r="A115" i="8"/>
  <c r="A116" i="8"/>
  <c r="A117" i="8"/>
  <c r="A118" i="8"/>
  <c r="A119" i="8"/>
  <c r="A120" i="8"/>
  <c r="A121" i="8"/>
  <c r="A122" i="8"/>
  <c r="A123" i="8"/>
  <c r="A124" i="8"/>
  <c r="A125" i="8"/>
  <c r="A126" i="8"/>
  <c r="A127" i="8"/>
  <c r="A128" i="8"/>
  <c r="A1" i="9"/>
  <c r="A3" i="9"/>
  <c r="A4" i="9"/>
  <c r="A5" i="9"/>
  <c r="A7" i="9"/>
  <c r="A8" i="9"/>
  <c r="A9" i="9"/>
  <c r="A10" i="9"/>
  <c r="A13" i="9"/>
  <c r="A14" i="9"/>
  <c r="A16" i="9"/>
  <c r="A17" i="9"/>
  <c r="A18" i="9"/>
  <c r="A19" i="9"/>
  <c r="A20" i="9"/>
  <c r="B20" i="9"/>
  <c r="C20" i="9"/>
  <c r="D20" i="9"/>
  <c r="E20" i="9"/>
  <c r="F20" i="9"/>
  <c r="G20" i="9"/>
  <c r="A21" i="9"/>
  <c r="B21" i="9"/>
  <c r="B37" i="9" s="1"/>
  <c r="C21" i="9"/>
  <c r="D21" i="9"/>
  <c r="E21" i="9"/>
  <c r="F21" i="9"/>
  <c r="G21" i="9"/>
  <c r="A22" i="9"/>
  <c r="A23" i="9"/>
  <c r="A24" i="9"/>
  <c r="A25" i="9"/>
  <c r="A26" i="9"/>
  <c r="A27" i="9"/>
  <c r="A28" i="9"/>
  <c r="B28" i="9"/>
  <c r="C28" i="9"/>
  <c r="D28" i="9"/>
  <c r="E28" i="9"/>
  <c r="F28" i="9"/>
  <c r="G28" i="9"/>
  <c r="A29" i="9"/>
  <c r="B29" i="9"/>
  <c r="C29" i="9"/>
  <c r="D29" i="9"/>
  <c r="E29" i="9"/>
  <c r="F29" i="9"/>
  <c r="G29" i="9"/>
  <c r="A30" i="9"/>
  <c r="A31" i="9"/>
  <c r="A32" i="9"/>
  <c r="A33" i="9"/>
  <c r="A34" i="9"/>
  <c r="A35" i="9"/>
  <c r="A36" i="9"/>
  <c r="B36" i="9"/>
  <c r="C36" i="9"/>
  <c r="D36" i="9"/>
  <c r="F36" i="9"/>
  <c r="G36" i="9"/>
  <c r="A37" i="9"/>
  <c r="C37" i="9"/>
  <c r="D37" i="9"/>
  <c r="G37" i="9"/>
  <c r="A38" i="9"/>
  <c r="A39" i="9"/>
  <c r="A40" i="9"/>
  <c r="A44" i="9"/>
  <c r="A45" i="9"/>
  <c r="A47" i="9"/>
  <c r="A51" i="9"/>
  <c r="A52" i="9"/>
  <c r="A54" i="9"/>
  <c r="A55" i="9"/>
  <c r="A56" i="9"/>
  <c r="A57" i="9"/>
  <c r="A59" i="9"/>
  <c r="B59" i="9"/>
  <c r="A61" i="9"/>
  <c r="B61" i="9"/>
  <c r="A63" i="9"/>
  <c r="B63" i="9"/>
  <c r="A65" i="9"/>
  <c r="B65" i="9"/>
  <c r="C65" i="9"/>
  <c r="A69" i="9"/>
  <c r="A70" i="9"/>
  <c r="A72" i="9"/>
  <c r="A73" i="9"/>
  <c r="A74" i="9"/>
  <c r="A75" i="9"/>
  <c r="A76" i="9"/>
  <c r="A77" i="9"/>
  <c r="A78" i="9"/>
  <c r="A79" i="9"/>
  <c r="A80" i="9"/>
  <c r="A81" i="9"/>
  <c r="A82" i="9"/>
  <c r="A83" i="9"/>
  <c r="A84" i="9"/>
  <c r="A85" i="9"/>
  <c r="A86" i="9"/>
  <c r="A87" i="9"/>
  <c r="A89" i="9"/>
  <c r="A90" i="9"/>
  <c r="A91" i="9"/>
  <c r="B91" i="9"/>
  <c r="B92" i="9" s="1"/>
  <c r="B23" i="9" s="1"/>
  <c r="A92" i="9"/>
  <c r="A93" i="9"/>
  <c r="A94" i="9"/>
  <c r="B94" i="9"/>
  <c r="A95" i="9"/>
  <c r="B95" i="9"/>
  <c r="B31" i="9" s="1"/>
  <c r="A96" i="9"/>
  <c r="A97" i="9"/>
  <c r="B97" i="9"/>
  <c r="A98" i="9"/>
  <c r="A100" i="9"/>
  <c r="A101" i="9"/>
  <c r="A102" i="9"/>
  <c r="B102" i="9"/>
  <c r="A103" i="9"/>
  <c r="B103" i="9"/>
  <c r="B107" i="9" s="1"/>
  <c r="A104" i="9"/>
  <c r="A105" i="9"/>
  <c r="B105" i="9"/>
  <c r="A106" i="9"/>
  <c r="B106" i="9"/>
  <c r="A107" i="9"/>
  <c r="A108" i="9"/>
  <c r="B108" i="9"/>
  <c r="A109" i="9"/>
  <c r="A111" i="9"/>
  <c r="A112" i="9"/>
  <c r="A113" i="9"/>
  <c r="A114" i="9"/>
  <c r="A115" i="9"/>
  <c r="A1" i="10"/>
  <c r="A3" i="10"/>
  <c r="A4" i="10"/>
  <c r="A5" i="10"/>
  <c r="A6" i="10"/>
  <c r="A8" i="10"/>
  <c r="A9" i="10"/>
  <c r="A10" i="10"/>
  <c r="A11" i="10"/>
  <c r="A13" i="10"/>
  <c r="A14" i="10"/>
  <c r="A15" i="10"/>
  <c r="A16" i="10"/>
  <c r="A18" i="10"/>
  <c r="A19" i="10"/>
  <c r="A20" i="10"/>
  <c r="A21" i="10"/>
  <c r="A23" i="10"/>
  <c r="A24" i="10"/>
  <c r="A25" i="10"/>
  <c r="A26" i="10"/>
  <c r="A27" i="10"/>
  <c r="A28" i="10"/>
  <c r="A29" i="10"/>
  <c r="A30" i="10"/>
  <c r="A31" i="10"/>
  <c r="A32" i="10"/>
  <c r="A33" i="10"/>
  <c r="A34" i="10"/>
  <c r="A35" i="10"/>
  <c r="A37" i="10"/>
  <c r="A38" i="10"/>
  <c r="A40" i="10"/>
  <c r="A41" i="10"/>
  <c r="A42" i="10"/>
  <c r="A43" i="10"/>
  <c r="A44" i="10"/>
  <c r="A45" i="10"/>
  <c r="A46" i="10"/>
  <c r="A47" i="10"/>
  <c r="A48" i="10"/>
  <c r="A49" i="10"/>
  <c r="A50" i="10"/>
  <c r="A51" i="10"/>
  <c r="A52" i="10"/>
  <c r="A54" i="10"/>
  <c r="A55" i="10"/>
  <c r="A56" i="10"/>
  <c r="A57" i="10"/>
  <c r="A58" i="10"/>
  <c r="A59" i="10"/>
  <c r="A60" i="10"/>
  <c r="A61" i="10"/>
  <c r="A62" i="10"/>
  <c r="A63" i="10"/>
  <c r="A64" i="10"/>
  <c r="A65" i="10"/>
  <c r="A66" i="10"/>
  <c r="A68" i="10"/>
  <c r="A69" i="10"/>
  <c r="A70" i="10"/>
  <c r="A71" i="10"/>
  <c r="A72" i="10"/>
  <c r="A73" i="10"/>
  <c r="A74" i="10"/>
  <c r="A75" i="10"/>
  <c r="A76" i="10"/>
  <c r="A77" i="10"/>
  <c r="A78" i="10"/>
  <c r="A79" i="10"/>
  <c r="A80" i="10"/>
  <c r="A82" i="10"/>
  <c r="B82" i="10"/>
  <c r="C82" i="10"/>
  <c r="D82" i="10"/>
  <c r="E82" i="10"/>
  <c r="F82" i="10"/>
  <c r="A84" i="10"/>
  <c r="A85" i="10"/>
  <c r="A86" i="10"/>
  <c r="A87" i="10"/>
  <c r="A88" i="10"/>
  <c r="A89" i="10"/>
  <c r="A90" i="10"/>
  <c r="A91" i="10"/>
  <c r="A92" i="10"/>
  <c r="A93" i="10"/>
  <c r="A94" i="10"/>
  <c r="A95" i="10"/>
  <c r="A96" i="10"/>
  <c r="A98" i="10"/>
  <c r="A99" i="10"/>
  <c r="A100" i="10"/>
  <c r="A101" i="10"/>
  <c r="A102" i="10"/>
  <c r="A103" i="10"/>
  <c r="A104" i="10"/>
  <c r="A105" i="10"/>
  <c r="A106" i="10"/>
  <c r="A107" i="10"/>
  <c r="A108" i="10"/>
  <c r="A109" i="10"/>
  <c r="A110" i="10"/>
  <c r="A111" i="10"/>
  <c r="A112" i="10"/>
  <c r="A113" i="10"/>
  <c r="A1" i="11"/>
  <c r="A3" i="11"/>
  <c r="A4" i="11"/>
  <c r="A5" i="11"/>
  <c r="A6" i="11"/>
  <c r="A8" i="11"/>
  <c r="A10" i="11"/>
  <c r="A11" i="11"/>
  <c r="B11" i="11"/>
  <c r="C11" i="11"/>
  <c r="D11" i="11"/>
  <c r="E11" i="11"/>
  <c r="F11" i="11"/>
  <c r="A13" i="11"/>
  <c r="A14" i="11"/>
  <c r="B14" i="11"/>
  <c r="C14" i="11"/>
  <c r="D14" i="11"/>
  <c r="E14" i="11"/>
  <c r="F14" i="11"/>
  <c r="G14" i="11"/>
  <c r="A15" i="11"/>
  <c r="B15" i="11"/>
  <c r="C15" i="11"/>
  <c r="D15" i="11"/>
  <c r="A16" i="11"/>
  <c r="B16" i="11"/>
  <c r="C16" i="11"/>
  <c r="D16" i="11"/>
  <c r="E16" i="11"/>
  <c r="A19" i="11"/>
  <c r="A20" i="11"/>
  <c r="A22" i="11"/>
  <c r="A23" i="11"/>
  <c r="A24" i="11"/>
  <c r="B24" i="11"/>
  <c r="C24" i="11"/>
  <c r="A25" i="11"/>
  <c r="A1" i="12"/>
  <c r="A3" i="12"/>
  <c r="A4" i="12"/>
  <c r="A5" i="12"/>
  <c r="A6" i="12"/>
  <c r="A8" i="12"/>
  <c r="A9" i="12"/>
  <c r="A10" i="12"/>
  <c r="C10" i="12"/>
  <c r="D10" i="12"/>
  <c r="E10" i="12"/>
  <c r="F10" i="12"/>
  <c r="G10" i="12"/>
  <c r="H10" i="12"/>
  <c r="I10" i="12"/>
  <c r="A12" i="12"/>
  <c r="A13" i="12"/>
  <c r="C13" i="12"/>
  <c r="D13" i="12"/>
  <c r="E13" i="12"/>
  <c r="F13" i="12"/>
  <c r="G13" i="12"/>
  <c r="H13" i="12"/>
  <c r="I13" i="12"/>
  <c r="A15" i="12"/>
  <c r="A16" i="12"/>
  <c r="A18" i="12"/>
  <c r="A20" i="12"/>
  <c r="A22" i="12"/>
  <c r="A23" i="12"/>
  <c r="A24" i="12"/>
  <c r="A25" i="12"/>
  <c r="A26" i="12"/>
  <c r="A27" i="12"/>
  <c r="A28" i="12"/>
  <c r="A29" i="12"/>
  <c r="A30" i="12"/>
  <c r="A31" i="12"/>
  <c r="A32" i="12"/>
  <c r="A33" i="12"/>
  <c r="A37" i="12"/>
  <c r="A38" i="12"/>
  <c r="A40" i="12"/>
  <c r="A41" i="12"/>
  <c r="A42" i="12"/>
  <c r="A44" i="12"/>
  <c r="B45" i="12"/>
  <c r="C45" i="12"/>
  <c r="D45" i="12"/>
  <c r="E45" i="12"/>
  <c r="F45" i="12"/>
  <c r="G45" i="12"/>
  <c r="A46" i="12"/>
  <c r="B46" i="12"/>
  <c r="D46" i="12"/>
  <c r="E46" i="12"/>
  <c r="F46" i="12"/>
  <c r="G46" i="12"/>
  <c r="A49" i="12"/>
  <c r="A50" i="12"/>
  <c r="A51" i="12"/>
  <c r="A53" i="12"/>
  <c r="A54" i="12"/>
  <c r="A55" i="12"/>
  <c r="A57" i="12"/>
  <c r="A58" i="12"/>
  <c r="A59" i="12"/>
  <c r="A61" i="12"/>
  <c r="A62" i="12"/>
  <c r="A63" i="12"/>
  <c r="A1" i="13"/>
  <c r="A3" i="13"/>
  <c r="A4" i="13"/>
  <c r="A5" i="13"/>
  <c r="A6" i="13"/>
  <c r="A8" i="13"/>
  <c r="A9" i="13"/>
  <c r="A10" i="13"/>
  <c r="A11" i="13"/>
  <c r="A12" i="13"/>
  <c r="A14" i="13"/>
  <c r="A15" i="13"/>
  <c r="A16" i="13"/>
  <c r="A17" i="13"/>
  <c r="A18" i="13"/>
  <c r="A20" i="13"/>
  <c r="B20" i="13"/>
  <c r="A23" i="13"/>
  <c r="A24" i="13"/>
  <c r="A26" i="13"/>
  <c r="B26" i="13"/>
  <c r="C26" i="13"/>
  <c r="A1" i="14"/>
  <c r="A3" i="14"/>
  <c r="A4" i="14"/>
  <c r="A6" i="14"/>
  <c r="A7" i="14"/>
  <c r="A8" i="14"/>
  <c r="A9" i="14"/>
  <c r="A11" i="14"/>
  <c r="B11" i="14"/>
  <c r="C11" i="14"/>
  <c r="D11" i="14"/>
  <c r="E11" i="14"/>
  <c r="F11" i="14"/>
  <c r="G11" i="14"/>
  <c r="H11" i="14"/>
  <c r="A13" i="14"/>
  <c r="C13" i="14"/>
  <c r="D13" i="14"/>
  <c r="E13" i="14"/>
  <c r="F13" i="14"/>
  <c r="G13" i="14"/>
  <c r="H13" i="14"/>
  <c r="A1" i="15"/>
  <c r="B4" i="15"/>
  <c r="B6" i="15"/>
  <c r="B8" i="15"/>
  <c r="B10" i="15"/>
  <c r="B12" i="15"/>
  <c r="B14" i="15"/>
  <c r="B16" i="15"/>
  <c r="B18" i="15"/>
  <c r="B20" i="15"/>
  <c r="B25" i="15"/>
  <c r="B27" i="15"/>
  <c r="B29" i="15"/>
  <c r="B31" i="15"/>
  <c r="B33" i="15"/>
  <c r="B35" i="15"/>
  <c r="B37" i="15"/>
  <c r="B39" i="15"/>
  <c r="B41" i="15"/>
  <c r="B43" i="15"/>
  <c r="B45" i="15"/>
  <c r="B47" i="15"/>
  <c r="B56" i="15"/>
  <c r="B58" i="15"/>
  <c r="B60" i="15"/>
  <c r="B66" i="15"/>
  <c r="B68" i="15"/>
  <c r="B70" i="15"/>
  <c r="B72" i="15"/>
  <c r="B74" i="15"/>
  <c r="B76" i="15"/>
  <c r="B78" i="15"/>
  <c r="B80" i="15"/>
  <c r="B82" i="15"/>
  <c r="B84" i="15"/>
  <c r="B86" i="15"/>
  <c r="B88" i="15"/>
  <c r="B90" i="15"/>
  <c r="B92" i="15"/>
  <c r="B94" i="15"/>
  <c r="B96" i="15"/>
  <c r="B98" i="15"/>
  <c r="B102" i="15"/>
  <c r="B104" i="15"/>
  <c r="B106" i="15"/>
  <c r="B108" i="15"/>
  <c r="B111" i="15"/>
  <c r="B113" i="15"/>
  <c r="B115" i="15"/>
  <c r="B118" i="15"/>
  <c r="B120" i="15"/>
  <c r="B126" i="15"/>
  <c r="B128" i="15"/>
  <c r="B130" i="15"/>
  <c r="B132" i="15"/>
  <c r="B134" i="15"/>
  <c r="B136" i="15"/>
  <c r="B138" i="15"/>
  <c r="B140" i="15"/>
  <c r="B142" i="15"/>
  <c r="B144" i="15"/>
  <c r="B146" i="15"/>
  <c r="B148" i="15"/>
  <c r="B151" i="15"/>
  <c r="B153" i="15"/>
  <c r="B155" i="15"/>
  <c r="B157" i="15"/>
  <c r="B159" i="15"/>
  <c r="B161" i="15"/>
  <c r="B163" i="15"/>
  <c r="B165" i="15"/>
  <c r="B167" i="15"/>
  <c r="B169" i="15"/>
  <c r="B171" i="15"/>
  <c r="B173" i="15"/>
  <c r="B175" i="15"/>
  <c r="B177" i="15"/>
  <c r="B179" i="15"/>
  <c r="B181" i="15"/>
  <c r="B183" i="15"/>
  <c r="B185" i="15"/>
  <c r="B187" i="15"/>
  <c r="B189" i="15"/>
  <c r="B192" i="15"/>
  <c r="B194" i="15"/>
  <c r="B196" i="15"/>
  <c r="B198" i="15"/>
  <c r="B200" i="15"/>
  <c r="B202" i="15"/>
  <c r="B204" i="15"/>
  <c r="B206" i="15"/>
  <c r="B208" i="15"/>
  <c r="B214" i="15"/>
  <c r="B216" i="15"/>
  <c r="B218" i="15"/>
  <c r="B220" i="15"/>
  <c r="B222" i="15"/>
  <c r="B224" i="15"/>
  <c r="B226" i="15"/>
  <c r="B228" i="15"/>
  <c r="B230" i="15"/>
  <c r="B232" i="15"/>
  <c r="B234" i="15"/>
  <c r="B236" i="15"/>
  <c r="B238" i="15"/>
  <c r="B240" i="15"/>
  <c r="B242" i="15"/>
  <c r="B249" i="15"/>
  <c r="B251" i="15"/>
  <c r="B253" i="15"/>
  <c r="B255" i="15"/>
  <c r="B258" i="15"/>
  <c r="B261" i="15"/>
  <c r="B264" i="15"/>
  <c r="B267" i="15"/>
  <c r="B269" i="15"/>
  <c r="B271" i="15"/>
  <c r="B273" i="15"/>
  <c r="B275" i="15"/>
  <c r="B277" i="15"/>
  <c r="B281" i="15"/>
  <c r="B283" i="15"/>
  <c r="B285" i="15"/>
  <c r="B287" i="15"/>
  <c r="B289" i="15"/>
  <c r="B291" i="15"/>
  <c r="B293" i="15"/>
  <c r="B295" i="15"/>
  <c r="B297" i="15"/>
  <c r="B299" i="15"/>
  <c r="B301" i="15"/>
  <c r="B303" i="15"/>
  <c r="B305" i="15"/>
  <c r="B307" i="15"/>
  <c r="B309" i="15"/>
  <c r="B311" i="15"/>
  <c r="B313" i="15"/>
  <c r="B315" i="15"/>
  <c r="B317" i="15"/>
  <c r="B319" i="15"/>
  <c r="B321" i="15"/>
  <c r="B323" i="15"/>
  <c r="B325" i="15"/>
  <c r="B327" i="15"/>
  <c r="B329" i="15"/>
  <c r="B331" i="15"/>
  <c r="B333" i="15"/>
  <c r="B335" i="15"/>
  <c r="B337" i="15"/>
  <c r="B339" i="15"/>
  <c r="B341" i="15"/>
  <c r="B343" i="15"/>
  <c r="B345" i="15"/>
  <c r="B347" i="15"/>
  <c r="B349" i="15"/>
  <c r="B351" i="15"/>
  <c r="B353" i="15"/>
  <c r="B355" i="15"/>
  <c r="B357" i="15"/>
  <c r="B359" i="15"/>
  <c r="B361" i="15"/>
  <c r="B363" i="15"/>
  <c r="B365" i="15"/>
  <c r="B367" i="15"/>
  <c r="B369" i="15"/>
  <c r="B371" i="15"/>
  <c r="B374" i="15"/>
  <c r="B376" i="15"/>
  <c r="B378" i="15"/>
  <c r="B380" i="15"/>
  <c r="B382" i="15"/>
  <c r="B384" i="15"/>
  <c r="B386" i="15"/>
  <c r="A1" i="16"/>
  <c r="A3" i="16"/>
  <c r="A4" i="16"/>
  <c r="A5" i="16"/>
  <c r="A6" i="16"/>
  <c r="B6" i="16"/>
  <c r="A7" i="16"/>
  <c r="B7" i="16"/>
  <c r="A9" i="16"/>
  <c r="A10" i="16"/>
  <c r="B10" i="16"/>
  <c r="B12" i="16" s="1"/>
  <c r="A11" i="16"/>
  <c r="B11" i="16"/>
  <c r="A12" i="16"/>
  <c r="A1" i="17"/>
  <c r="A3" i="17"/>
  <c r="A5" i="17"/>
  <c r="A6" i="17"/>
  <c r="A7" i="17"/>
  <c r="B7" i="17"/>
  <c r="A8" i="17"/>
  <c r="A10" i="17"/>
  <c r="A11" i="17"/>
  <c r="A12" i="17"/>
  <c r="A13" i="17"/>
  <c r="A14" i="17"/>
  <c r="A15" i="17"/>
  <c r="A16" i="17"/>
  <c r="A17" i="17"/>
  <c r="A18" i="17"/>
  <c r="A19" i="17"/>
  <c r="A20" i="17"/>
  <c r="A21" i="17"/>
  <c r="A22"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7" i="17"/>
  <c r="A78" i="17"/>
  <c r="A79" i="17"/>
  <c r="A80" i="17"/>
  <c r="A81" i="17"/>
  <c r="A82" i="17"/>
  <c r="A83" i="17"/>
  <c r="A84" i="17"/>
  <c r="A85" i="17"/>
  <c r="A86" i="17"/>
  <c r="A87" i="17"/>
  <c r="A88" i="17"/>
  <c r="A89" i="17"/>
  <c r="A91" i="17"/>
  <c r="A92" i="17"/>
  <c r="A93" i="17"/>
  <c r="A94" i="17"/>
  <c r="A95" i="17"/>
  <c r="A96" i="17"/>
  <c r="A97" i="17"/>
  <c r="A98" i="17"/>
  <c r="A99" i="17"/>
  <c r="A100" i="17"/>
  <c r="A101" i="17"/>
  <c r="A102" i="17"/>
  <c r="A103" i="17"/>
  <c r="A105" i="17"/>
  <c r="A106" i="17"/>
  <c r="A107" i="17"/>
  <c r="A108" i="17"/>
  <c r="A109" i="17"/>
  <c r="A110" i="17"/>
  <c r="A111" i="17"/>
  <c r="A112" i="17"/>
  <c r="A113" i="17"/>
  <c r="A114" i="17"/>
  <c r="A115" i="17"/>
  <c r="A116" i="17"/>
  <c r="A117" i="17"/>
  <c r="A119" i="17"/>
  <c r="A120" i="17"/>
  <c r="A121" i="17"/>
  <c r="A122" i="17"/>
  <c r="A124" i="17"/>
  <c r="A125" i="17"/>
  <c r="A126" i="17"/>
  <c r="A127" i="17"/>
  <c r="B127" i="17"/>
  <c r="A128" i="17"/>
  <c r="A129" i="17"/>
  <c r="A130" i="17"/>
  <c r="A131" i="17"/>
  <c r="B131" i="17"/>
  <c r="B132" i="17" s="1"/>
  <c r="A132" i="17"/>
  <c r="A133" i="17"/>
  <c r="B133" i="17"/>
  <c r="A134" i="17"/>
  <c r="B134" i="17"/>
  <c r="A135" i="17"/>
  <c r="B135" i="17"/>
  <c r="A136" i="17"/>
  <c r="A138" i="17"/>
  <c r="A139" i="17"/>
  <c r="A140" i="17"/>
  <c r="A141" i="17"/>
  <c r="A142" i="17"/>
  <c r="A143" i="17"/>
  <c r="A144" i="17"/>
  <c r="A145" i="17"/>
  <c r="A146" i="17"/>
  <c r="A147" i="17"/>
  <c r="A148" i="17"/>
  <c r="A149" i="17"/>
  <c r="A150" i="17"/>
  <c r="A152" i="17"/>
  <c r="A153" i="17"/>
  <c r="A154" i="17"/>
  <c r="A155" i="17"/>
  <c r="A157" i="17"/>
  <c r="A158" i="17"/>
  <c r="A159" i="17"/>
  <c r="A160" i="17"/>
  <c r="A161" i="17"/>
  <c r="B163" i="17"/>
  <c r="C163" i="17"/>
  <c r="D163" i="17"/>
  <c r="E163" i="17"/>
  <c r="F163" i="17"/>
  <c r="G163" i="17"/>
  <c r="H163" i="17"/>
  <c r="A164" i="17"/>
  <c r="A166" i="17"/>
  <c r="A167" i="17"/>
  <c r="A168" i="17"/>
  <c r="A169" i="17"/>
  <c r="A171" i="17"/>
  <c r="A172" i="17"/>
  <c r="A173" i="17"/>
  <c r="B173" i="17"/>
  <c r="A174" i="17"/>
  <c r="A176" i="17"/>
  <c r="A177" i="17"/>
  <c r="A178" i="17"/>
  <c r="A179" i="17"/>
  <c r="A182" i="17"/>
  <c r="B184" i="17"/>
  <c r="C184" i="17"/>
  <c r="D184" i="17"/>
  <c r="E184" i="17"/>
  <c r="F184" i="17"/>
  <c r="G184" i="17"/>
  <c r="A185" i="17"/>
  <c r="A188" i="17"/>
  <c r="A191" i="17"/>
  <c r="A194" i="17"/>
  <c r="A197" i="17"/>
  <c r="A200" i="17"/>
  <c r="A203" i="17"/>
  <c r="A206" i="17"/>
  <c r="A209" i="17"/>
  <c r="A212" i="17"/>
  <c r="A215" i="17"/>
  <c r="A218" i="17"/>
  <c r="A221" i="17"/>
  <c r="A224" i="17"/>
  <c r="A227" i="17"/>
  <c r="A230" i="17"/>
  <c r="A233" i="17"/>
  <c r="A236" i="17"/>
  <c r="A239" i="17"/>
  <c r="A242" i="17"/>
  <c r="A245" i="17"/>
  <c r="A248" i="17"/>
  <c r="A251" i="17"/>
  <c r="A254" i="17"/>
  <c r="A257" i="17"/>
  <c r="A260" i="17"/>
  <c r="A1" i="18"/>
  <c r="A3" i="18"/>
  <c r="A4" i="18"/>
  <c r="F4" i="18" s="1"/>
  <c r="C4" i="18"/>
  <c r="D4" i="18" s="1"/>
  <c r="A5" i="18"/>
  <c r="G5" i="18" s="1"/>
  <c r="C5" i="18"/>
  <c r="D5" i="18" s="1"/>
  <c r="F5" i="18"/>
  <c r="H5" i="18"/>
  <c r="A6" i="18"/>
  <c r="F6" i="18"/>
  <c r="C6" i="18"/>
  <c r="D6" i="18"/>
  <c r="A7" i="18"/>
  <c r="F7" i="18"/>
  <c r="C7" i="18"/>
  <c r="D7" i="18"/>
  <c r="A8" i="18"/>
  <c r="F8" i="18"/>
  <c r="C8" i="18"/>
  <c r="D8" i="18"/>
  <c r="G8" i="18"/>
  <c r="A9" i="18"/>
  <c r="F9" i="18" s="1"/>
  <c r="C9" i="18"/>
  <c r="D9" i="18"/>
  <c r="A10" i="18"/>
  <c r="F10" i="18" s="1"/>
  <c r="B10" i="18"/>
  <c r="E10" i="18" s="1"/>
  <c r="C10" i="18"/>
  <c r="D10" i="18"/>
  <c r="A11" i="18"/>
  <c r="F11" i="18" s="1"/>
  <c r="C11" i="18"/>
  <c r="D11" i="18" s="1"/>
  <c r="A12" i="18"/>
  <c r="F12" i="18"/>
  <c r="C12" i="18"/>
  <c r="D12" i="18" s="1"/>
  <c r="A13" i="18"/>
  <c r="F13" i="18"/>
  <c r="C13" i="18"/>
  <c r="D13" i="18" s="1"/>
  <c r="A14" i="18"/>
  <c r="F14" i="18"/>
  <c r="C14" i="18"/>
  <c r="D14" i="18" s="1"/>
  <c r="G14" i="18"/>
  <c r="A15" i="18"/>
  <c r="F15" i="18" s="1"/>
  <c r="C15" i="18"/>
  <c r="D15" i="18" s="1"/>
  <c r="A16" i="18"/>
  <c r="F16" i="18" s="1"/>
  <c r="C16" i="18"/>
  <c r="D16" i="18" s="1"/>
  <c r="A17" i="18"/>
  <c r="H17" i="18" s="1"/>
  <c r="C17" i="18"/>
  <c r="D17" i="18" s="1"/>
  <c r="F17" i="18"/>
  <c r="N276" i="19" s="1"/>
  <c r="A18" i="18"/>
  <c r="F18" i="18" s="1"/>
  <c r="B18" i="18"/>
  <c r="E18" i="18"/>
  <c r="C18" i="18"/>
  <c r="D18" i="18" s="1"/>
  <c r="A19" i="18"/>
  <c r="F19" i="18" s="1"/>
  <c r="B19" i="18"/>
  <c r="E19" i="18" s="1"/>
  <c r="C19" i="18"/>
  <c r="D19" i="18" s="1"/>
  <c r="A20" i="18"/>
  <c r="F20" i="18" s="1"/>
  <c r="C20" i="18"/>
  <c r="D20" i="18" s="1"/>
  <c r="G20" i="18"/>
  <c r="A21" i="18"/>
  <c r="F21" i="18" s="1"/>
  <c r="R276" i="19" s="1"/>
  <c r="C21" i="18"/>
  <c r="D21" i="18"/>
  <c r="A22" i="18"/>
  <c r="F22" i="18" s="1"/>
  <c r="S272" i="19" s="1"/>
  <c r="C22" i="18"/>
  <c r="D22" i="18"/>
  <c r="A23" i="18"/>
  <c r="F23" i="18" s="1"/>
  <c r="C23" i="18"/>
  <c r="D23" i="18"/>
  <c r="G23" i="18"/>
  <c r="A24" i="18"/>
  <c r="F24" i="18" s="1"/>
  <c r="C24" i="18"/>
  <c r="D24" i="18"/>
  <c r="A25" i="18"/>
  <c r="F25" i="18" s="1"/>
  <c r="V276" i="19" s="1"/>
  <c r="C25" i="18"/>
  <c r="D25" i="18"/>
  <c r="A26" i="18"/>
  <c r="F26" i="18" s="1"/>
  <c r="W272" i="19" s="1"/>
  <c r="C26" i="18"/>
  <c r="D26" i="18" s="1"/>
  <c r="A27" i="18"/>
  <c r="F27" i="18" s="1"/>
  <c r="B27" i="18"/>
  <c r="E27" i="18" s="1"/>
  <c r="C27" i="18"/>
  <c r="D27" i="18" s="1"/>
  <c r="A28" i="18"/>
  <c r="F28" i="18"/>
  <c r="C28" i="18"/>
  <c r="D28" i="18" s="1"/>
  <c r="A29" i="18"/>
  <c r="C29" i="18"/>
  <c r="D29" i="18" s="1"/>
  <c r="A30" i="18"/>
  <c r="F30" i="18" s="1"/>
  <c r="C30" i="18"/>
  <c r="D30" i="18"/>
  <c r="A31" i="18"/>
  <c r="F31" i="18" s="1"/>
  <c r="AB272" i="19" s="1"/>
  <c r="C31" i="18"/>
  <c r="D31" i="18" s="1"/>
  <c r="A32" i="18"/>
  <c r="F32" i="18" s="1"/>
  <c r="C32" i="18"/>
  <c r="D32" i="18"/>
  <c r="A33" i="18"/>
  <c r="F33" i="18"/>
  <c r="C33" i="18"/>
  <c r="D33" i="18"/>
  <c r="A34" i="18"/>
  <c r="F34" i="18"/>
  <c r="C34" i="18"/>
  <c r="D34" i="18"/>
  <c r="A35" i="18"/>
  <c r="F35" i="18"/>
  <c r="AF272" i="19" s="1"/>
  <c r="C35" i="18"/>
  <c r="D35" i="18"/>
  <c r="G35" i="18"/>
  <c r="A36" i="18"/>
  <c r="F36" i="18" s="1"/>
  <c r="B36" i="18"/>
  <c r="E36" i="18" s="1"/>
  <c r="C36" i="18"/>
  <c r="D36" i="18" s="1"/>
  <c r="A37" i="18"/>
  <c r="F37" i="18" s="1"/>
  <c r="C37" i="18"/>
  <c r="D37" i="18" s="1"/>
  <c r="A38" i="18"/>
  <c r="F38" i="18" s="1"/>
  <c r="C38" i="18"/>
  <c r="D38" i="18" s="1"/>
  <c r="G38" i="18"/>
  <c r="A39" i="18"/>
  <c r="F39" i="18"/>
  <c r="AJ272" i="19" s="1"/>
  <c r="C39" i="18"/>
  <c r="D39" i="18" s="1"/>
  <c r="A40" i="18"/>
  <c r="C40" i="18"/>
  <c r="D40" i="18" s="1"/>
  <c r="A41" i="18"/>
  <c r="C41" i="18"/>
  <c r="D41" i="18" s="1"/>
  <c r="H41" i="18"/>
  <c r="A42" i="18"/>
  <c r="C42" i="18"/>
  <c r="D42" i="18" s="1"/>
  <c r="A43" i="18"/>
  <c r="C43" i="18"/>
  <c r="D43" i="18" s="1"/>
  <c r="A44" i="18"/>
  <c r="C44" i="18"/>
  <c r="D44" i="18" s="1"/>
  <c r="G44" i="18"/>
  <c r="A45" i="18"/>
  <c r="B45" i="18"/>
  <c r="E45" i="18" s="1"/>
  <c r="C45" i="18"/>
  <c r="D45" i="18" s="1"/>
  <c r="F45" i="18"/>
  <c r="F169" i="19" s="1"/>
  <c r="A46" i="18"/>
  <c r="F46" i="18" s="1"/>
  <c r="H375" i="19" s="1"/>
  <c r="C46" i="18"/>
  <c r="D46" i="18"/>
  <c r="A47" i="18"/>
  <c r="F47" i="18" s="1"/>
  <c r="C47" i="18"/>
  <c r="D47" i="18" s="1"/>
  <c r="A48" i="18"/>
  <c r="B48" i="18"/>
  <c r="E48" i="18" s="1"/>
  <c r="C48" i="18"/>
  <c r="D48" i="18"/>
  <c r="G48" i="18"/>
  <c r="A51" i="18"/>
  <c r="B51" i="18"/>
  <c r="A55" i="18"/>
  <c r="B55" i="18"/>
  <c r="A59" i="18"/>
  <c r="B59" i="18"/>
  <c r="A63" i="18"/>
  <c r="B63" i="18"/>
  <c r="A67" i="18"/>
  <c r="B67" i="18"/>
  <c r="A71" i="18"/>
  <c r="B71" i="18"/>
  <c r="A1" i="19"/>
  <c r="A3" i="19"/>
  <c r="A5" i="19"/>
  <c r="A6" i="19"/>
  <c r="A7" i="19"/>
  <c r="A8" i="19"/>
  <c r="A9" i="19"/>
  <c r="A10" i="19"/>
  <c r="A11" i="19"/>
  <c r="A12" i="19"/>
  <c r="A13" i="19"/>
  <c r="A14" i="19"/>
  <c r="A15" i="19"/>
  <c r="A16" i="19"/>
  <c r="A17" i="19"/>
  <c r="A19" i="19"/>
  <c r="A20" i="19"/>
  <c r="A21" i="19"/>
  <c r="A22" i="19"/>
  <c r="A23" i="19"/>
  <c r="A24" i="19"/>
  <c r="A25" i="19"/>
  <c r="A26" i="19"/>
  <c r="A27" i="19"/>
  <c r="A28" i="19"/>
  <c r="A29" i="19"/>
  <c r="A30" i="19"/>
  <c r="A31" i="19"/>
  <c r="A33" i="19"/>
  <c r="A34" i="19"/>
  <c r="B34" i="19"/>
  <c r="C34" i="19"/>
  <c r="D34" i="19"/>
  <c r="E34" i="19"/>
  <c r="E20" i="19"/>
  <c r="F34" i="19"/>
  <c r="G34" i="19"/>
  <c r="G20" i="19" s="1"/>
  <c r="A35" i="19"/>
  <c r="B35" i="19"/>
  <c r="B21" i="19" s="1"/>
  <c r="D19" i="2" s="1"/>
  <c r="C35" i="19"/>
  <c r="C43" i="19" s="1"/>
  <c r="D35" i="19"/>
  <c r="D21" i="19" s="1"/>
  <c r="E35" i="19"/>
  <c r="E21" i="19" s="1"/>
  <c r="F35" i="19"/>
  <c r="F21" i="19" s="1"/>
  <c r="G35" i="19"/>
  <c r="A36" i="19"/>
  <c r="A37" i="19"/>
  <c r="A38" i="19"/>
  <c r="B38" i="19"/>
  <c r="B24" i="19" s="1"/>
  <c r="D20" i="2" s="1"/>
  <c r="B69" i="7" s="1"/>
  <c r="C38" i="19"/>
  <c r="C24" i="19" s="1"/>
  <c r="D38" i="19"/>
  <c r="E38" i="19"/>
  <c r="E24" i="19" s="1"/>
  <c r="F38" i="19"/>
  <c r="F24" i="19" s="1"/>
  <c r="G38" i="19"/>
  <c r="A39" i="19"/>
  <c r="B39" i="19"/>
  <c r="B25" i="19"/>
  <c r="D21" i="2" s="1"/>
  <c r="B70" i="7" s="1"/>
  <c r="B53" i="19" s="1"/>
  <c r="C39" i="19"/>
  <c r="C25" i="19" s="1"/>
  <c r="A40" i="19"/>
  <c r="C40" i="19"/>
  <c r="A41" i="19"/>
  <c r="A42" i="19"/>
  <c r="C42" i="19"/>
  <c r="A43" i="19"/>
  <c r="B43" i="19"/>
  <c r="A44" i="19"/>
  <c r="A45" i="19"/>
  <c r="A47" i="19"/>
  <c r="A48" i="19"/>
  <c r="A49" i="19"/>
  <c r="A50" i="19"/>
  <c r="A51" i="19"/>
  <c r="A52" i="19"/>
  <c r="A53" i="19"/>
  <c r="A54" i="19"/>
  <c r="A55" i="19"/>
  <c r="A56" i="19"/>
  <c r="A57" i="19"/>
  <c r="A58" i="19"/>
  <c r="A59" i="19"/>
  <c r="A61" i="19"/>
  <c r="B61" i="19"/>
  <c r="C61" i="19"/>
  <c r="D61" i="19"/>
  <c r="E61" i="19"/>
  <c r="F61" i="19"/>
  <c r="A62" i="19"/>
  <c r="B62" i="19"/>
  <c r="C62" i="19"/>
  <c r="D62" i="19"/>
  <c r="E62" i="19"/>
  <c r="F62" i="19"/>
  <c r="G62" i="19"/>
  <c r="A63" i="19"/>
  <c r="A64" i="19"/>
  <c r="A66" i="19"/>
  <c r="B66" i="19"/>
  <c r="C66" i="19"/>
  <c r="D66" i="19"/>
  <c r="E66" i="19"/>
  <c r="F66" i="19"/>
  <c r="A67" i="19"/>
  <c r="B67" i="19"/>
  <c r="C67" i="19"/>
  <c r="D67" i="19"/>
  <c r="E67" i="19"/>
  <c r="F67" i="19"/>
  <c r="G67" i="19"/>
  <c r="A68" i="19"/>
  <c r="A69" i="19"/>
  <c r="A71" i="19"/>
  <c r="A72" i="19"/>
  <c r="A73" i="19"/>
  <c r="A74" i="19"/>
  <c r="A75" i="19"/>
  <c r="A76" i="19"/>
  <c r="A77" i="19"/>
  <c r="A78" i="19"/>
  <c r="A79" i="19"/>
  <c r="A80" i="19"/>
  <c r="A81" i="19"/>
  <c r="A82" i="19"/>
  <c r="A83" i="19"/>
  <c r="A84" i="19"/>
  <c r="A85" i="19"/>
  <c r="A86" i="19"/>
  <c r="A87" i="19"/>
  <c r="A88" i="19"/>
  <c r="A89" i="19"/>
  <c r="A90" i="19"/>
  <c r="A91" i="19"/>
  <c r="A92" i="19"/>
  <c r="A93" i="19"/>
  <c r="A94" i="19"/>
  <c r="A95" i="19"/>
  <c r="A96" i="19"/>
  <c r="A97" i="19"/>
  <c r="A98" i="19"/>
  <c r="A99" i="19"/>
  <c r="A100" i="19"/>
  <c r="A101" i="19"/>
  <c r="A102" i="19"/>
  <c r="A103" i="19"/>
  <c r="A104" i="19"/>
  <c r="A105" i="19"/>
  <c r="A106" i="19"/>
  <c r="A107" i="19"/>
  <c r="A108" i="19"/>
  <c r="A109" i="19"/>
  <c r="A110" i="19"/>
  <c r="A111" i="19"/>
  <c r="A112" i="19"/>
  <c r="A113" i="19"/>
  <c r="A114" i="19"/>
  <c r="A115" i="19"/>
  <c r="A116" i="19"/>
  <c r="A117" i="19"/>
  <c r="A118" i="19"/>
  <c r="A119" i="19"/>
  <c r="A121" i="19"/>
  <c r="A122" i="19"/>
  <c r="A123" i="19"/>
  <c r="B123" i="19"/>
  <c r="C123" i="19"/>
  <c r="D123" i="19"/>
  <c r="E123" i="19"/>
  <c r="F123" i="19"/>
  <c r="G123" i="19"/>
  <c r="A124" i="19"/>
  <c r="B124" i="19"/>
  <c r="C124" i="19"/>
  <c r="D124" i="19"/>
  <c r="E124" i="19"/>
  <c r="F124" i="19"/>
  <c r="G124" i="19"/>
  <c r="A125" i="19"/>
  <c r="A126" i="19"/>
  <c r="A127" i="19"/>
  <c r="A128" i="19"/>
  <c r="B128" i="19"/>
  <c r="C128" i="19"/>
  <c r="D128" i="19"/>
  <c r="E128" i="19"/>
  <c r="F128" i="19"/>
  <c r="G128" i="19"/>
  <c r="A129" i="19"/>
  <c r="B129" i="19"/>
  <c r="C129" i="19"/>
  <c r="D129" i="19"/>
  <c r="E129" i="19"/>
  <c r="F129" i="19"/>
  <c r="A130" i="19"/>
  <c r="A131" i="19"/>
  <c r="A132" i="19"/>
  <c r="A133" i="19"/>
  <c r="A134" i="19"/>
  <c r="A135" i="19"/>
  <c r="A136" i="19"/>
  <c r="A138" i="19"/>
  <c r="B138" i="19"/>
  <c r="B122" i="19" s="1"/>
  <c r="C138" i="19"/>
  <c r="C122" i="19" s="1"/>
  <c r="D138" i="19"/>
  <c r="D122" i="19" s="1"/>
  <c r="D125" i="19" s="1"/>
  <c r="A139" i="19"/>
  <c r="B139" i="19"/>
  <c r="B127" i="19" s="1"/>
  <c r="C139" i="19"/>
  <c r="C127" i="19" s="1"/>
  <c r="C130" i="19" s="1"/>
  <c r="D139" i="19"/>
  <c r="D127" i="19" s="1"/>
  <c r="E139" i="19"/>
  <c r="E127" i="19" s="1"/>
  <c r="A140" i="19"/>
  <c r="A141" i="19"/>
  <c r="A143" i="19"/>
  <c r="B143" i="19"/>
  <c r="A144" i="19"/>
  <c r="B144" i="19"/>
  <c r="A145" i="19"/>
  <c r="B145" i="19"/>
  <c r="A146" i="19"/>
  <c r="C148" i="19"/>
  <c r="D148" i="19" s="1"/>
  <c r="E148" i="19" s="1"/>
  <c r="F148" i="19" s="1"/>
  <c r="A149" i="19"/>
  <c r="A151" i="19"/>
  <c r="B151" i="19"/>
  <c r="A152" i="19"/>
  <c r="B152" i="19"/>
  <c r="A153" i="19"/>
  <c r="B153" i="19"/>
  <c r="A154" i="19"/>
  <c r="A156" i="19"/>
  <c r="A157" i="19"/>
  <c r="A158" i="19"/>
  <c r="A159" i="19"/>
  <c r="A160" i="19"/>
  <c r="A161" i="19"/>
  <c r="A162" i="19"/>
  <c r="A163" i="19"/>
  <c r="A164" i="19"/>
  <c r="A165" i="19"/>
  <c r="A166" i="19"/>
  <c r="A167" i="19"/>
  <c r="A168" i="19"/>
  <c r="A170" i="19"/>
  <c r="A171" i="19"/>
  <c r="A172" i="19"/>
  <c r="A173" i="19"/>
  <c r="B174" i="19"/>
  <c r="C174" i="19"/>
  <c r="D174" i="19"/>
  <c r="A175" i="19"/>
  <c r="B175" i="19"/>
  <c r="C175" i="19"/>
  <c r="C177" i="19" s="1"/>
  <c r="A176" i="19"/>
  <c r="B176" i="19"/>
  <c r="D176" i="19" s="1"/>
  <c r="C176" i="19"/>
  <c r="A177" i="19"/>
  <c r="B177" i="19"/>
  <c r="A178" i="19"/>
  <c r="F179" i="19"/>
  <c r="A180" i="19"/>
  <c r="A181" i="19"/>
  <c r="B181" i="19"/>
  <c r="C181" i="19"/>
  <c r="C189" i="19" s="1"/>
  <c r="D181" i="19"/>
  <c r="E181" i="19"/>
  <c r="F181" i="19"/>
  <c r="G181" i="19"/>
  <c r="A182" i="19"/>
  <c r="B182" i="19"/>
  <c r="B190" i="19" s="1"/>
  <c r="C182" i="19"/>
  <c r="C190" i="19"/>
  <c r="D182" i="19"/>
  <c r="E182" i="19"/>
  <c r="E190" i="19" s="1"/>
  <c r="F182" i="19"/>
  <c r="G182" i="19"/>
  <c r="G190" i="19" s="1"/>
  <c r="A183" i="19"/>
  <c r="D183" i="19"/>
  <c r="A184" i="19"/>
  <c r="A185" i="19"/>
  <c r="B185" i="19"/>
  <c r="C185" i="19"/>
  <c r="C187" i="19" s="1"/>
  <c r="D185" i="19"/>
  <c r="D189" i="19" s="1"/>
  <c r="A186" i="19"/>
  <c r="B186" i="19"/>
  <c r="C186" i="19"/>
  <c r="D186" i="19"/>
  <c r="E186" i="19"/>
  <c r="F186" i="19"/>
  <c r="G186" i="19"/>
  <c r="A187" i="19"/>
  <c r="B187" i="19"/>
  <c r="A188" i="19"/>
  <c r="A189" i="19"/>
  <c r="A190" i="19"/>
  <c r="D190" i="19"/>
  <c r="A191" i="19"/>
  <c r="A192" i="19"/>
  <c r="F193" i="19"/>
  <c r="A194" i="19"/>
  <c r="A195" i="19"/>
  <c r="B195" i="19"/>
  <c r="C195" i="19"/>
  <c r="D195" i="19"/>
  <c r="E195" i="19"/>
  <c r="F195" i="19"/>
  <c r="G195" i="19"/>
  <c r="A196" i="19"/>
  <c r="B196" i="19"/>
  <c r="C196" i="19"/>
  <c r="A197" i="19"/>
  <c r="B197" i="19"/>
  <c r="C197" i="19"/>
  <c r="D197" i="19"/>
  <c r="A198" i="19"/>
  <c r="A199" i="19"/>
  <c r="A200" i="19"/>
  <c r="B200" i="19"/>
  <c r="C200" i="19"/>
  <c r="D200" i="19"/>
  <c r="E200" i="19"/>
  <c r="F200" i="19"/>
  <c r="G203" i="19"/>
  <c r="A201" i="19"/>
  <c r="B201" i="19"/>
  <c r="C201" i="19"/>
  <c r="D201" i="19"/>
  <c r="E201" i="19"/>
  <c r="F201" i="19"/>
  <c r="A202" i="19"/>
  <c r="B202" i="19"/>
  <c r="C202" i="19"/>
  <c r="C203" i="19" s="1"/>
  <c r="D202" i="19"/>
  <c r="D203" i="19"/>
  <c r="E202" i="19"/>
  <c r="F202" i="19"/>
  <c r="A203" i="19"/>
  <c r="A204" i="19"/>
  <c r="A205" i="19"/>
  <c r="A206" i="19"/>
  <c r="A207" i="19"/>
  <c r="A208" i="19"/>
  <c r="A209" i="19"/>
  <c r="A211" i="19"/>
  <c r="B211" i="19"/>
  <c r="A212" i="19"/>
  <c r="B212" i="19"/>
  <c r="B213" i="19" s="1"/>
  <c r="A213" i="19"/>
  <c r="A214" i="19"/>
  <c r="A216" i="19"/>
  <c r="B216" i="19"/>
  <c r="A217" i="19"/>
  <c r="B217" i="19"/>
  <c r="A218" i="19"/>
  <c r="A220" i="19"/>
  <c r="B220" i="19"/>
  <c r="A221" i="19"/>
  <c r="B221" i="19"/>
  <c r="A222" i="19"/>
  <c r="A224" i="19"/>
  <c r="B224" i="19"/>
  <c r="A225" i="19"/>
  <c r="B225" i="19"/>
  <c r="A226" i="19"/>
  <c r="A228" i="19"/>
  <c r="B228" i="19"/>
  <c r="A229" i="19"/>
  <c r="B229" i="19"/>
  <c r="A230" i="19"/>
  <c r="A232" i="19"/>
  <c r="B232" i="19"/>
  <c r="A233" i="19"/>
  <c r="B233" i="19"/>
  <c r="A234" i="19"/>
  <c r="B234" i="19"/>
  <c r="A235" i="19"/>
  <c r="A236" i="19"/>
  <c r="F237" i="19"/>
  <c r="A238" i="19"/>
  <c r="B238" i="19"/>
  <c r="C238" i="19"/>
  <c r="D238" i="19"/>
  <c r="E238" i="19"/>
  <c r="F238" i="19"/>
  <c r="G238" i="19"/>
  <c r="A239" i="19"/>
  <c r="B239" i="19"/>
  <c r="C239" i="19"/>
  <c r="D239" i="19"/>
  <c r="E239" i="19"/>
  <c r="F239" i="19"/>
  <c r="G239" i="19"/>
  <c r="A240" i="19"/>
  <c r="B240" i="19"/>
  <c r="C240" i="19"/>
  <c r="D240" i="19"/>
  <c r="E240" i="19"/>
  <c r="F240" i="19"/>
  <c r="G240" i="19"/>
  <c r="A241" i="19"/>
  <c r="G241" i="19"/>
  <c r="A242" i="19"/>
  <c r="B244" i="19"/>
  <c r="A245" i="19"/>
  <c r="B247" i="19"/>
  <c r="B368" i="19" s="1"/>
  <c r="A1" i="21" s="1"/>
  <c r="AP16" i="22" s="1"/>
  <c r="A248" i="19"/>
  <c r="B250" i="19"/>
  <c r="C250" i="19"/>
  <c r="D250" i="19"/>
  <c r="E250" i="19"/>
  <c r="F250" i="19"/>
  <c r="G250" i="19"/>
  <c r="A251" i="19"/>
  <c r="A254" i="19"/>
  <c r="G255" i="19"/>
  <c r="B256" i="19"/>
  <c r="B12" i="12" s="1"/>
  <c r="A257" i="19"/>
  <c r="F258" i="19"/>
  <c r="A259" i="19"/>
  <c r="A260" i="19"/>
  <c r="A261" i="19"/>
  <c r="A262" i="19"/>
  <c r="A263" i="19"/>
  <c r="A264" i="19"/>
  <c r="A265" i="19"/>
  <c r="A266" i="19"/>
  <c r="A267" i="19"/>
  <c r="A268" i="19"/>
  <c r="A269" i="19"/>
  <c r="A270" i="19"/>
  <c r="A271" i="19"/>
  <c r="B272" i="19"/>
  <c r="C272" i="19"/>
  <c r="D272" i="19"/>
  <c r="E272" i="19"/>
  <c r="F272" i="19"/>
  <c r="G272" i="19"/>
  <c r="H272" i="19"/>
  <c r="I272" i="19"/>
  <c r="J272" i="19"/>
  <c r="K272" i="19"/>
  <c r="L272" i="19"/>
  <c r="M272" i="19"/>
  <c r="N272" i="19"/>
  <c r="O272" i="19"/>
  <c r="P272" i="19"/>
  <c r="Q272" i="19"/>
  <c r="R272" i="19"/>
  <c r="T272" i="19"/>
  <c r="U272" i="19"/>
  <c r="V272" i="19"/>
  <c r="X272" i="19"/>
  <c r="Y272" i="19"/>
  <c r="AA272" i="19"/>
  <c r="AC272" i="19"/>
  <c r="AD272" i="19"/>
  <c r="AE272" i="19"/>
  <c r="AH272" i="19"/>
  <c r="AI272" i="19"/>
  <c r="A273" i="19"/>
  <c r="A274" i="19"/>
  <c r="A275" i="19"/>
  <c r="B276" i="19"/>
  <c r="C276" i="19"/>
  <c r="D276" i="19"/>
  <c r="E276" i="19"/>
  <c r="F276" i="19"/>
  <c r="G276" i="19"/>
  <c r="H276" i="19"/>
  <c r="I276" i="19"/>
  <c r="J276" i="19"/>
  <c r="K276" i="19"/>
  <c r="L276" i="19"/>
  <c r="M276" i="19"/>
  <c r="O276" i="19"/>
  <c r="P276" i="19"/>
  <c r="Q276" i="19"/>
  <c r="S276" i="19"/>
  <c r="T276" i="19"/>
  <c r="U276" i="19"/>
  <c r="W276" i="19"/>
  <c r="X276" i="19"/>
  <c r="Y276" i="19"/>
  <c r="AA276" i="19"/>
  <c r="AB276" i="19"/>
  <c r="AC276" i="19"/>
  <c r="AD276" i="19"/>
  <c r="AE276" i="19"/>
  <c r="AF276" i="19"/>
  <c r="AH276" i="19"/>
  <c r="AI276" i="19"/>
  <c r="AJ276" i="19"/>
  <c r="AP276" i="19"/>
  <c r="A277" i="19"/>
  <c r="A278" i="19"/>
  <c r="A279" i="19"/>
  <c r="A281" i="19"/>
  <c r="B281" i="19"/>
  <c r="A282" i="19"/>
  <c r="B282" i="19"/>
  <c r="A283" i="19"/>
  <c r="B284" i="19"/>
  <c r="C284" i="19"/>
  <c r="D284" i="19"/>
  <c r="E284" i="19"/>
  <c r="F284" i="19"/>
  <c r="G284" i="19"/>
  <c r="H284" i="19"/>
  <c r="I284" i="19"/>
  <c r="J284" i="19"/>
  <c r="K284" i="19"/>
  <c r="L284" i="19"/>
  <c r="M284" i="19"/>
  <c r="N284" i="19"/>
  <c r="O284" i="19"/>
  <c r="P284" i="19"/>
  <c r="Q284" i="19"/>
  <c r="R284" i="19"/>
  <c r="S284" i="19"/>
  <c r="T284" i="19"/>
  <c r="U284" i="19"/>
  <c r="V284" i="19"/>
  <c r="W284" i="19"/>
  <c r="X284" i="19"/>
  <c r="Y284" i="19"/>
  <c r="AA284" i="19"/>
  <c r="AB284" i="19"/>
  <c r="AC284" i="19"/>
  <c r="AD284" i="19"/>
  <c r="AE284" i="19"/>
  <c r="AF284" i="19"/>
  <c r="AH284" i="19"/>
  <c r="AI284" i="19"/>
  <c r="AJ284" i="19"/>
  <c r="A285" i="19"/>
  <c r="A286" i="19"/>
  <c r="A287" i="19"/>
  <c r="B288" i="19"/>
  <c r="C288" i="19"/>
  <c r="D288" i="19"/>
  <c r="E288" i="19"/>
  <c r="F288" i="19"/>
  <c r="G288" i="19"/>
  <c r="H288" i="19"/>
  <c r="I288" i="19"/>
  <c r="J288" i="19"/>
  <c r="K288" i="19"/>
  <c r="L288" i="19"/>
  <c r="M288" i="19"/>
  <c r="N288" i="19"/>
  <c r="O288" i="19"/>
  <c r="P288" i="19"/>
  <c r="Q288" i="19"/>
  <c r="R288" i="19"/>
  <c r="S288" i="19"/>
  <c r="T288" i="19"/>
  <c r="U288" i="19"/>
  <c r="V288" i="19"/>
  <c r="W288" i="19"/>
  <c r="X288" i="19"/>
  <c r="Y288" i="19"/>
  <c r="AA288" i="19"/>
  <c r="AB288" i="19"/>
  <c r="AC288" i="19"/>
  <c r="AD288" i="19"/>
  <c r="AE288" i="19"/>
  <c r="AF288" i="19"/>
  <c r="AH288" i="19"/>
  <c r="AI288" i="19"/>
  <c r="AP288" i="19"/>
  <c r="A289" i="19"/>
  <c r="A290" i="19"/>
  <c r="A291" i="19"/>
  <c r="A293" i="19"/>
  <c r="B293" i="19"/>
  <c r="B294" i="19" s="1"/>
  <c r="A294" i="19"/>
  <c r="A295" i="19"/>
  <c r="G296" i="19"/>
  <c r="A298" i="19"/>
  <c r="F299" i="19"/>
  <c r="A301" i="19"/>
  <c r="A303" i="19"/>
  <c r="B303" i="19"/>
  <c r="A304" i="19"/>
  <c r="B304" i="19"/>
  <c r="A305" i="19"/>
  <c r="B305" i="19"/>
  <c r="A306" i="19"/>
  <c r="A307" i="19"/>
  <c r="F308" i="19"/>
  <c r="A309" i="19"/>
  <c r="A310" i="19"/>
  <c r="A311" i="19"/>
  <c r="A312" i="19"/>
  <c r="A313" i="19"/>
  <c r="A314" i="19"/>
  <c r="A315" i="19"/>
  <c r="A316" i="19"/>
  <c r="A317" i="19"/>
  <c r="A318" i="19"/>
  <c r="A319" i="19"/>
  <c r="A320" i="19"/>
  <c r="A321" i="19"/>
  <c r="A322" i="19"/>
  <c r="A323" i="19"/>
  <c r="A324" i="19"/>
  <c r="A327" i="19"/>
  <c r="B328" i="19"/>
  <c r="C328" i="19"/>
  <c r="D328" i="19"/>
  <c r="E328" i="19"/>
  <c r="F328" i="19"/>
  <c r="G328" i="19"/>
  <c r="H328" i="19"/>
  <c r="I328" i="19"/>
  <c r="J328" i="19"/>
  <c r="K328" i="19"/>
  <c r="L328" i="19"/>
  <c r="M328" i="19"/>
  <c r="N328" i="19"/>
  <c r="O328" i="19"/>
  <c r="P328" i="19"/>
  <c r="Q328" i="19"/>
  <c r="R328" i="19"/>
  <c r="S328" i="19"/>
  <c r="T328" i="19"/>
  <c r="U328" i="19"/>
  <c r="V328" i="19"/>
  <c r="W328" i="19"/>
  <c r="X328" i="19"/>
  <c r="Y328" i="19"/>
  <c r="AA328" i="19"/>
  <c r="AB328" i="19"/>
  <c r="AC328" i="19"/>
  <c r="AD328" i="19"/>
  <c r="AE328" i="19"/>
  <c r="AF328" i="19"/>
  <c r="AG328" i="19"/>
  <c r="AH328" i="19"/>
  <c r="AI328" i="19"/>
  <c r="AJ328" i="19"/>
  <c r="A329" i="19"/>
  <c r="A330" i="19"/>
  <c r="A331" i="19"/>
  <c r="B333" i="19"/>
  <c r="B14" i="5"/>
  <c r="A334" i="19"/>
  <c r="F335" i="19"/>
  <c r="A337" i="19"/>
  <c r="F338" i="19"/>
  <c r="A340" i="19"/>
  <c r="A342" i="19"/>
  <c r="B342" i="19"/>
  <c r="A343" i="19"/>
  <c r="B343" i="19"/>
  <c r="A344" i="19"/>
  <c r="A345" i="19"/>
  <c r="A348" i="19"/>
  <c r="G349" i="19"/>
  <c r="H349" i="19"/>
  <c r="B350" i="19"/>
  <c r="B347" i="19" s="1"/>
  <c r="A351" i="19"/>
  <c r="F352" i="19"/>
  <c r="G352" i="19"/>
  <c r="A354" i="19"/>
  <c r="A357" i="19"/>
  <c r="A360" i="19"/>
  <c r="E361" i="19"/>
  <c r="A362" i="19"/>
  <c r="A363" i="19"/>
  <c r="A364" i="19"/>
  <c r="A365" i="19"/>
  <c r="A367" i="19"/>
  <c r="A368" i="19"/>
  <c r="A369" i="19"/>
  <c r="B369" i="19"/>
  <c r="A370" i="19"/>
  <c r="A371" i="19"/>
  <c r="A372" i="19"/>
  <c r="A373" i="19"/>
  <c r="A374" i="19"/>
  <c r="G375" i="19"/>
  <c r="A377" i="19"/>
  <c r="A379" i="19"/>
  <c r="A380" i="19"/>
  <c r="A381" i="19"/>
  <c r="B381" i="19"/>
  <c r="B18" i="4" s="1"/>
  <c r="A382" i="19"/>
  <c r="B382" i="19"/>
  <c r="B19" i="4" s="1"/>
  <c r="C382" i="19"/>
  <c r="D382" i="19"/>
  <c r="E382" i="19"/>
  <c r="F382" i="19"/>
  <c r="G382" i="19"/>
  <c r="H382" i="19"/>
  <c r="A383" i="19"/>
  <c r="A384" i="19"/>
  <c r="A385" i="19"/>
  <c r="B385" i="19"/>
  <c r="A386" i="19"/>
  <c r="B386" i="19"/>
  <c r="B23" i="4" s="1"/>
  <c r="C386" i="19"/>
  <c r="D386" i="19"/>
  <c r="E386" i="19"/>
  <c r="F386" i="19"/>
  <c r="G386" i="19"/>
  <c r="H386" i="19"/>
  <c r="A387" i="19"/>
  <c r="A388" i="19"/>
  <c r="A389" i="19"/>
  <c r="G390" i="19"/>
  <c r="A391" i="19"/>
  <c r="A392" i="19"/>
  <c r="A393" i="19"/>
  <c r="A394" i="19"/>
  <c r="B396" i="19"/>
  <c r="A397" i="19"/>
  <c r="G398" i="19"/>
  <c r="A400" i="19"/>
  <c r="A403" i="19"/>
  <c r="A406" i="19"/>
  <c r="B407" i="19"/>
  <c r="C407" i="19"/>
  <c r="D407" i="19"/>
  <c r="E407" i="19"/>
  <c r="F407" i="19"/>
  <c r="G407" i="19"/>
  <c r="H407" i="19"/>
  <c r="I407" i="19"/>
  <c r="J407" i="19"/>
  <c r="K407" i="19"/>
  <c r="L407" i="19"/>
  <c r="M407" i="19"/>
  <c r="N407" i="19"/>
  <c r="O407" i="19"/>
  <c r="P407" i="19"/>
  <c r="Q407" i="19"/>
  <c r="R407" i="19"/>
  <c r="S407" i="19"/>
  <c r="T407" i="19"/>
  <c r="U407" i="19"/>
  <c r="V407" i="19"/>
  <c r="W407" i="19"/>
  <c r="X407" i="19"/>
  <c r="Y407" i="19"/>
  <c r="AA407" i="19"/>
  <c r="AB407" i="19"/>
  <c r="AC407" i="19"/>
  <c r="AD407" i="19"/>
  <c r="AE407" i="19"/>
  <c r="AF407" i="19"/>
  <c r="AG407" i="19"/>
  <c r="AH407" i="19"/>
  <c r="AI407" i="19"/>
  <c r="AJ407" i="19"/>
  <c r="B408" i="19"/>
  <c r="C408" i="19"/>
  <c r="D408" i="19"/>
  <c r="E408" i="19"/>
  <c r="F408" i="19"/>
  <c r="G408" i="19"/>
  <c r="H408" i="19"/>
  <c r="I408" i="19"/>
  <c r="J408" i="19"/>
  <c r="K408" i="19"/>
  <c r="L408" i="19"/>
  <c r="M408" i="19"/>
  <c r="N408" i="19"/>
  <c r="O408" i="19"/>
  <c r="P408" i="19"/>
  <c r="Q408" i="19"/>
  <c r="R408" i="19"/>
  <c r="S408" i="19"/>
  <c r="T408" i="19"/>
  <c r="U408" i="19"/>
  <c r="V408" i="19"/>
  <c r="W408" i="19"/>
  <c r="X408" i="19"/>
  <c r="Y408" i="19"/>
  <c r="Z408" i="19"/>
  <c r="AA408" i="19"/>
  <c r="AB408" i="19"/>
  <c r="AC408" i="19"/>
  <c r="AD408" i="19"/>
  <c r="AE408" i="19"/>
  <c r="AF408" i="19"/>
  <c r="AG408" i="19"/>
  <c r="AH408" i="19"/>
  <c r="AI408" i="19"/>
  <c r="AJ408" i="19"/>
  <c r="AK408" i="19"/>
  <c r="AL408" i="19"/>
  <c r="B15" i="5"/>
  <c r="AM408" i="19"/>
  <c r="C15" i="5" s="1"/>
  <c r="AN408" i="19"/>
  <c r="D15" i="5" s="1"/>
  <c r="AO408" i="19"/>
  <c r="E15" i="5" s="1"/>
  <c r="AP408" i="19"/>
  <c r="F15" i="5" s="1"/>
  <c r="AQ408" i="19"/>
  <c r="G15" i="5" s="1"/>
  <c r="A409" i="19"/>
  <c r="C410" i="19"/>
  <c r="A411" i="19"/>
  <c r="A412" i="19"/>
  <c r="A413" i="19"/>
  <c r="A414" i="19"/>
  <c r="A416" i="19"/>
  <c r="A417" i="19"/>
  <c r="A418" i="19"/>
  <c r="A1" i="20"/>
  <c r="AN16" i="22" s="1"/>
  <c r="A2" i="20"/>
  <c r="A9" i="21"/>
  <c r="B9" i="21"/>
  <c r="C9" i="21"/>
  <c r="D9" i="21"/>
  <c r="E9" i="21"/>
  <c r="F9" i="21"/>
  <c r="G9" i="21"/>
  <c r="B12" i="21"/>
  <c r="C12" i="21"/>
  <c r="D12" i="21"/>
  <c r="E12" i="21"/>
  <c r="F12" i="21"/>
  <c r="G12" i="21"/>
  <c r="B1" i="22"/>
  <c r="D1" i="22"/>
  <c r="F1" i="22"/>
  <c r="H1" i="22"/>
  <c r="J1" i="22"/>
  <c r="L1" i="22"/>
  <c r="N1" i="22"/>
  <c r="P1" i="22"/>
  <c r="R1" i="22"/>
  <c r="T1" i="22"/>
  <c r="V1" i="22"/>
  <c r="X1" i="22"/>
  <c r="Z1" i="22"/>
  <c r="AB1" i="22"/>
  <c r="AD1" i="22"/>
  <c r="AF1" i="22"/>
  <c r="AH1" i="22"/>
  <c r="AJ1" i="22"/>
  <c r="AL1" i="22"/>
  <c r="AN1" i="22"/>
  <c r="AP1" i="22"/>
  <c r="AR1" i="22"/>
  <c r="AT1" i="22"/>
  <c r="AV1" i="22"/>
  <c r="AX1" i="22"/>
  <c r="AZ1" i="22"/>
  <c r="BB1" i="22"/>
  <c r="BD1" i="22"/>
  <c r="BF1" i="22"/>
  <c r="BH1" i="22"/>
  <c r="BJ1" i="22"/>
  <c r="BL1" i="22"/>
  <c r="B2" i="22"/>
  <c r="D2" i="22"/>
  <c r="F2" i="22"/>
  <c r="H2" i="22"/>
  <c r="J2" i="22"/>
  <c r="L2" i="22"/>
  <c r="N2" i="22"/>
  <c r="P2" i="22"/>
  <c r="R2" i="22"/>
  <c r="T2" i="22"/>
  <c r="V2" i="22"/>
  <c r="X2" i="22"/>
  <c r="Z2" i="22"/>
  <c r="AB2" i="22"/>
  <c r="AD2" i="22"/>
  <c r="AF2" i="22"/>
  <c r="AH2" i="22"/>
  <c r="AJ2" i="22"/>
  <c r="AL2" i="22"/>
  <c r="AN2" i="22"/>
  <c r="AP2" i="22"/>
  <c r="AR2" i="22"/>
  <c r="AT2" i="22"/>
  <c r="AV2" i="22"/>
  <c r="AX2" i="22"/>
  <c r="AZ2" i="22"/>
  <c r="BB2" i="22"/>
  <c r="BD2" i="22"/>
  <c r="BF2" i="22"/>
  <c r="BH2" i="22"/>
  <c r="BJ2" i="22"/>
  <c r="BL2" i="22"/>
  <c r="B3" i="22"/>
  <c r="D3" i="22"/>
  <c r="F3" i="22"/>
  <c r="H3" i="22"/>
  <c r="J3" i="22"/>
  <c r="L3" i="22"/>
  <c r="N3" i="22"/>
  <c r="P3" i="22"/>
  <c r="R3" i="22"/>
  <c r="T3" i="22"/>
  <c r="V3" i="22"/>
  <c r="X3" i="22"/>
  <c r="Z3" i="22"/>
  <c r="AB3" i="22"/>
  <c r="AD3" i="22"/>
  <c r="AF3" i="22"/>
  <c r="AH3" i="22"/>
  <c r="AJ3" i="22"/>
  <c r="AL3" i="22"/>
  <c r="AN3" i="22"/>
  <c r="AP3" i="22"/>
  <c r="AR3" i="22"/>
  <c r="AT3" i="22"/>
  <c r="AV3" i="22"/>
  <c r="AX3" i="22"/>
  <c r="AZ3" i="22"/>
  <c r="BB3" i="22"/>
  <c r="BD3" i="22"/>
  <c r="BF3" i="22"/>
  <c r="BH3" i="22"/>
  <c r="BJ3" i="22"/>
  <c r="BL3" i="22"/>
  <c r="B4" i="22"/>
  <c r="D4" i="22"/>
  <c r="F4" i="22"/>
  <c r="H4" i="22"/>
  <c r="J4" i="22"/>
  <c r="L4" i="22"/>
  <c r="N4" i="22"/>
  <c r="P4" i="22"/>
  <c r="R4" i="22"/>
  <c r="T4" i="22"/>
  <c r="V4" i="22"/>
  <c r="X4" i="22"/>
  <c r="Z4" i="22"/>
  <c r="AB4" i="22"/>
  <c r="AD4" i="22"/>
  <c r="AF4" i="22"/>
  <c r="AH4" i="22"/>
  <c r="AJ4" i="22"/>
  <c r="AL4" i="22"/>
  <c r="AN4" i="22"/>
  <c r="AP4" i="22"/>
  <c r="AR4" i="22"/>
  <c r="AT4" i="22"/>
  <c r="AV4" i="22"/>
  <c r="AX4" i="22"/>
  <c r="AZ4" i="22"/>
  <c r="BB4" i="22"/>
  <c r="BD4" i="22"/>
  <c r="BF4" i="22"/>
  <c r="BH4" i="22"/>
  <c r="BJ4" i="22"/>
  <c r="BL4" i="22"/>
  <c r="B5" i="22"/>
  <c r="D5" i="22"/>
  <c r="F5" i="22"/>
  <c r="H5" i="22"/>
  <c r="J5" i="22"/>
  <c r="L5" i="22"/>
  <c r="N5" i="22"/>
  <c r="P5" i="22"/>
  <c r="R5" i="22"/>
  <c r="T5" i="22"/>
  <c r="V5" i="22"/>
  <c r="X5" i="22"/>
  <c r="Z5" i="22"/>
  <c r="AB5" i="22"/>
  <c r="AD5" i="22"/>
  <c r="AF5" i="22"/>
  <c r="AH5" i="22"/>
  <c r="AJ5" i="22"/>
  <c r="AL5" i="22"/>
  <c r="AN5" i="22"/>
  <c r="AP5" i="22"/>
  <c r="AR5" i="22"/>
  <c r="AT5" i="22"/>
  <c r="AV5" i="22"/>
  <c r="AX5" i="22"/>
  <c r="AZ5" i="22"/>
  <c r="BB5" i="22"/>
  <c r="BD5" i="22"/>
  <c r="BF5" i="22"/>
  <c r="BH5" i="22"/>
  <c r="BJ5" i="22"/>
  <c r="BL5" i="22"/>
  <c r="B6" i="22"/>
  <c r="D6" i="22"/>
  <c r="F6" i="22"/>
  <c r="H6" i="22"/>
  <c r="J6" i="22"/>
  <c r="L6" i="22"/>
  <c r="N6" i="22"/>
  <c r="P6" i="22"/>
  <c r="R6" i="22"/>
  <c r="T6" i="22"/>
  <c r="V6" i="22"/>
  <c r="X6" i="22"/>
  <c r="Z6" i="22"/>
  <c r="AB6" i="22"/>
  <c r="AD6" i="22"/>
  <c r="AF6" i="22"/>
  <c r="AH6" i="22"/>
  <c r="AJ6" i="22"/>
  <c r="AL6" i="22"/>
  <c r="AN6" i="22"/>
  <c r="AP6" i="22"/>
  <c r="AR6" i="22"/>
  <c r="AT6" i="22"/>
  <c r="AV6" i="22"/>
  <c r="AX6" i="22"/>
  <c r="AZ6" i="22"/>
  <c r="BB6" i="22"/>
  <c r="BD6" i="22"/>
  <c r="BF6" i="22"/>
  <c r="BH6" i="22"/>
  <c r="BJ6" i="22"/>
  <c r="BL6" i="22"/>
  <c r="B7" i="22"/>
  <c r="D7" i="22"/>
  <c r="F7" i="22"/>
  <c r="H7" i="22"/>
  <c r="J7" i="22"/>
  <c r="L7" i="22"/>
  <c r="N7" i="22"/>
  <c r="P7" i="22"/>
  <c r="R7" i="22"/>
  <c r="T7" i="22"/>
  <c r="V7" i="22"/>
  <c r="X7" i="22"/>
  <c r="Z7" i="22"/>
  <c r="AB7" i="22"/>
  <c r="AD7" i="22"/>
  <c r="AF7" i="22"/>
  <c r="AH7" i="22"/>
  <c r="AJ7" i="22"/>
  <c r="AL7" i="22"/>
  <c r="AN7" i="22"/>
  <c r="AP7" i="22"/>
  <c r="AR7" i="22"/>
  <c r="AT7" i="22"/>
  <c r="AV7" i="22"/>
  <c r="AX7" i="22"/>
  <c r="AZ7" i="22"/>
  <c r="BB7" i="22"/>
  <c r="BD7" i="22"/>
  <c r="BF7" i="22"/>
  <c r="BH7" i="22"/>
  <c r="BJ7" i="22"/>
  <c r="BL7" i="22"/>
  <c r="B8" i="22"/>
  <c r="D8" i="22"/>
  <c r="F8" i="22"/>
  <c r="H8" i="22"/>
  <c r="J8" i="22"/>
  <c r="L8" i="22"/>
  <c r="N8" i="22"/>
  <c r="P8" i="22"/>
  <c r="R8" i="22"/>
  <c r="T8" i="22"/>
  <c r="V8" i="22"/>
  <c r="X8" i="22"/>
  <c r="Z8" i="22"/>
  <c r="AB8" i="22"/>
  <c r="AD8" i="22"/>
  <c r="AF8" i="22"/>
  <c r="AH8" i="22"/>
  <c r="AJ8" i="22"/>
  <c r="AL8" i="22"/>
  <c r="AN8" i="22"/>
  <c r="AP8" i="22"/>
  <c r="AR8" i="22"/>
  <c r="AT8" i="22"/>
  <c r="AV8" i="22"/>
  <c r="AX8" i="22"/>
  <c r="AZ8" i="22"/>
  <c r="BB8" i="22"/>
  <c r="BD8" i="22"/>
  <c r="BF8" i="22"/>
  <c r="BH8" i="22"/>
  <c r="BJ8" i="22"/>
  <c r="BL8" i="22"/>
  <c r="B9" i="22"/>
  <c r="D9" i="22"/>
  <c r="F9" i="22"/>
  <c r="H9" i="22"/>
  <c r="J9" i="22"/>
  <c r="L9" i="22"/>
  <c r="N9" i="22"/>
  <c r="P9" i="22"/>
  <c r="R9" i="22"/>
  <c r="T9" i="22"/>
  <c r="V9" i="22"/>
  <c r="X9" i="22"/>
  <c r="Z9" i="22"/>
  <c r="AB9" i="22"/>
  <c r="AD9" i="22"/>
  <c r="AF9" i="22"/>
  <c r="AH9" i="22"/>
  <c r="AJ9" i="22"/>
  <c r="AL9" i="22"/>
  <c r="AN9" i="22"/>
  <c r="AP9" i="22"/>
  <c r="AR9" i="22"/>
  <c r="AT9" i="22"/>
  <c r="AV9" i="22"/>
  <c r="AX9" i="22"/>
  <c r="AZ9" i="22"/>
  <c r="BB9" i="22"/>
  <c r="BD9" i="22"/>
  <c r="BF9" i="22"/>
  <c r="BH9" i="22"/>
  <c r="BJ9" i="22"/>
  <c r="BL9" i="22"/>
  <c r="B10" i="22"/>
  <c r="D10" i="22"/>
  <c r="F10" i="22"/>
  <c r="H10" i="22"/>
  <c r="J10" i="22"/>
  <c r="L10" i="22"/>
  <c r="N10" i="22"/>
  <c r="P10" i="22"/>
  <c r="R10" i="22"/>
  <c r="T10" i="22"/>
  <c r="V10" i="22"/>
  <c r="X10" i="22"/>
  <c r="Z10" i="22"/>
  <c r="AB10" i="22"/>
  <c r="AD10" i="22"/>
  <c r="AF10" i="22"/>
  <c r="AH10" i="22"/>
  <c r="AJ10" i="22"/>
  <c r="AL10" i="22"/>
  <c r="AN10" i="22"/>
  <c r="AP10" i="22"/>
  <c r="AR10" i="22"/>
  <c r="AT10" i="22"/>
  <c r="AV10" i="22"/>
  <c r="AX10" i="22"/>
  <c r="AZ10" i="22"/>
  <c r="BB10" i="22"/>
  <c r="BD10" i="22"/>
  <c r="BF10" i="22"/>
  <c r="BH10" i="22"/>
  <c r="BJ10" i="22"/>
  <c r="BL10" i="22"/>
  <c r="B11" i="22"/>
  <c r="D11" i="22"/>
  <c r="F11" i="22"/>
  <c r="H11" i="22"/>
  <c r="J11" i="22"/>
  <c r="L11" i="22"/>
  <c r="N11" i="22"/>
  <c r="P11" i="22"/>
  <c r="R11" i="22"/>
  <c r="T11" i="22"/>
  <c r="V11" i="22"/>
  <c r="X11" i="22"/>
  <c r="Z11" i="22"/>
  <c r="AB11" i="22"/>
  <c r="AD11" i="22"/>
  <c r="AF11" i="22"/>
  <c r="AH11" i="22"/>
  <c r="AJ11" i="22"/>
  <c r="AL11" i="22"/>
  <c r="AN11" i="22"/>
  <c r="AP11" i="22"/>
  <c r="AR11" i="22"/>
  <c r="AT11" i="22"/>
  <c r="AV11" i="22"/>
  <c r="AX11" i="22"/>
  <c r="AZ11" i="22"/>
  <c r="BB11" i="22"/>
  <c r="BD11" i="22"/>
  <c r="BF11" i="22"/>
  <c r="BH11" i="22"/>
  <c r="BJ11" i="22"/>
  <c r="BL11" i="22"/>
  <c r="B12" i="22"/>
  <c r="D12" i="22"/>
  <c r="F12" i="22"/>
  <c r="H12" i="22"/>
  <c r="J12" i="22"/>
  <c r="L12" i="22"/>
  <c r="N12" i="22"/>
  <c r="P12" i="22"/>
  <c r="R12" i="22"/>
  <c r="T12" i="22"/>
  <c r="V12" i="22"/>
  <c r="X12" i="22"/>
  <c r="Z12" i="22"/>
  <c r="AB12" i="22"/>
  <c r="AD12" i="22"/>
  <c r="AF12" i="22"/>
  <c r="AH12" i="22"/>
  <c r="AJ12" i="22"/>
  <c r="AL12" i="22"/>
  <c r="AN12" i="22"/>
  <c r="AP12" i="22"/>
  <c r="AR12" i="22"/>
  <c r="AT12" i="22"/>
  <c r="AV12" i="22"/>
  <c r="AX12" i="22"/>
  <c r="AZ12" i="22"/>
  <c r="BB12" i="22"/>
  <c r="BD12" i="22"/>
  <c r="BF12" i="22"/>
  <c r="BH12" i="22"/>
  <c r="BJ12" i="22"/>
  <c r="BL12" i="22"/>
  <c r="B13" i="22"/>
  <c r="D13" i="22"/>
  <c r="F13" i="22"/>
  <c r="H13" i="22"/>
  <c r="J13" i="22"/>
  <c r="L13" i="22"/>
  <c r="N13" i="22"/>
  <c r="P13" i="22"/>
  <c r="R13" i="22"/>
  <c r="T13" i="22"/>
  <c r="V13" i="22"/>
  <c r="X13" i="22"/>
  <c r="Z13" i="22"/>
  <c r="AB13" i="22"/>
  <c r="AD13" i="22"/>
  <c r="AF13" i="22"/>
  <c r="AH13" i="22"/>
  <c r="AJ13" i="22"/>
  <c r="AL13" i="22"/>
  <c r="AN13" i="22"/>
  <c r="AP13" i="22"/>
  <c r="AR13" i="22"/>
  <c r="AT13" i="22"/>
  <c r="AV13" i="22"/>
  <c r="AX13" i="22"/>
  <c r="AZ13" i="22"/>
  <c r="BB13" i="22"/>
  <c r="BD13" i="22"/>
  <c r="BF13" i="22"/>
  <c r="BH13" i="22"/>
  <c r="BJ13" i="22"/>
  <c r="BL13" i="22"/>
  <c r="B14" i="22"/>
  <c r="D14" i="22"/>
  <c r="F14" i="22"/>
  <c r="H14" i="22"/>
  <c r="J14" i="22"/>
  <c r="L14" i="22"/>
  <c r="N14" i="22"/>
  <c r="P14" i="22"/>
  <c r="R14" i="22"/>
  <c r="T14" i="22"/>
  <c r="V14" i="22"/>
  <c r="X14" i="22"/>
  <c r="Z14" i="22"/>
  <c r="AB14" i="22"/>
  <c r="AD14" i="22"/>
  <c r="AF14" i="22"/>
  <c r="AH14" i="22"/>
  <c r="AJ14" i="22"/>
  <c r="AL14" i="22"/>
  <c r="AN14" i="22"/>
  <c r="AP14" i="22"/>
  <c r="AR14" i="22"/>
  <c r="AT14" i="22"/>
  <c r="AV14" i="22"/>
  <c r="AX14" i="22"/>
  <c r="AZ14" i="22"/>
  <c r="BB14" i="22"/>
  <c r="BD14" i="22"/>
  <c r="BF14" i="22"/>
  <c r="BH14" i="22"/>
  <c r="BJ14" i="22"/>
  <c r="BL14" i="22"/>
  <c r="B15" i="22"/>
  <c r="D15" i="22"/>
  <c r="F15" i="22"/>
  <c r="H15" i="22"/>
  <c r="J15" i="22"/>
  <c r="L15" i="22"/>
  <c r="N15" i="22"/>
  <c r="P15" i="22"/>
  <c r="R15" i="22"/>
  <c r="T15" i="22"/>
  <c r="V15" i="22"/>
  <c r="X15" i="22"/>
  <c r="Z15" i="22"/>
  <c r="AB15" i="22"/>
  <c r="AD15" i="22"/>
  <c r="AF15" i="22"/>
  <c r="AH15" i="22"/>
  <c r="AJ15" i="22"/>
  <c r="AL15" i="22"/>
  <c r="AN15" i="22"/>
  <c r="AP15" i="22"/>
  <c r="AR15" i="22"/>
  <c r="AT15" i="22"/>
  <c r="AV15" i="22"/>
  <c r="AX15" i="22"/>
  <c r="AZ15" i="22"/>
  <c r="BB15" i="22"/>
  <c r="BD15" i="22"/>
  <c r="BF15" i="22"/>
  <c r="B16" i="22"/>
  <c r="D16" i="22"/>
  <c r="F16" i="22"/>
  <c r="H16" i="22"/>
  <c r="J16" i="22"/>
  <c r="L16" i="22"/>
  <c r="N16" i="22"/>
  <c r="P16" i="22"/>
  <c r="R16" i="22"/>
  <c r="T16" i="22"/>
  <c r="V16" i="22"/>
  <c r="X16" i="22"/>
  <c r="Z16" i="22"/>
  <c r="AB16" i="22"/>
  <c r="AD16" i="22"/>
  <c r="AF16" i="22"/>
  <c r="AH16" i="22"/>
  <c r="AJ16" i="22"/>
  <c r="AL16" i="22"/>
  <c r="AR16" i="22"/>
  <c r="B17" i="22"/>
  <c r="D17" i="22"/>
  <c r="AD17" i="22"/>
  <c r="AP17" i="22"/>
  <c r="BB17" i="22"/>
  <c r="BD17" i="22"/>
  <c r="BF17" i="22"/>
  <c r="BH17" i="22"/>
  <c r="BJ17" i="22"/>
  <c r="BL17" i="22"/>
  <c r="B18" i="22"/>
  <c r="D18" i="22"/>
  <c r="F18" i="22"/>
  <c r="H18" i="22"/>
  <c r="J18" i="22"/>
  <c r="L18" i="22"/>
  <c r="N18" i="22"/>
  <c r="P18" i="22"/>
  <c r="R18" i="22"/>
  <c r="T18" i="22"/>
  <c r="V18" i="22"/>
  <c r="X18" i="22"/>
  <c r="Z18" i="22"/>
  <c r="AB18" i="22"/>
  <c r="AD18" i="22"/>
  <c r="AL18" i="22"/>
  <c r="AN18" i="22"/>
  <c r="AX18" i="22"/>
  <c r="BJ18" i="22"/>
  <c r="BL18" i="22"/>
  <c r="B19" i="22"/>
  <c r="D19" i="22"/>
  <c r="J19" i="22"/>
  <c r="V19" i="22"/>
  <c r="X19" i="22"/>
  <c r="AH19" i="22"/>
  <c r="AJ19" i="22"/>
  <c r="AT19" i="22"/>
  <c r="AV19" i="22"/>
  <c r="AX19" i="22"/>
  <c r="AZ19" i="22"/>
  <c r="BF19" i="22"/>
  <c r="BH19" i="22"/>
  <c r="BJ19" i="22"/>
  <c r="BL19" i="22"/>
  <c r="B20" i="22"/>
  <c r="F20" i="22"/>
  <c r="H20" i="22"/>
  <c r="J20" i="22"/>
  <c r="L20" i="22"/>
  <c r="N20" i="22"/>
  <c r="P20" i="22"/>
  <c r="R20" i="22"/>
  <c r="T20" i="22"/>
  <c r="V20" i="22"/>
  <c r="X20" i="22"/>
  <c r="Z20" i="22"/>
  <c r="AB20" i="22"/>
  <c r="AD20" i="22"/>
  <c r="AF20" i="22"/>
  <c r="AH20" i="22"/>
  <c r="AJ20" i="22"/>
  <c r="AL20" i="22"/>
  <c r="AN20" i="22"/>
  <c r="AP20" i="22"/>
  <c r="AB21" i="22"/>
  <c r="AD21" i="22"/>
  <c r="AF21" i="22"/>
  <c r="AH21" i="22"/>
  <c r="AJ21" i="22"/>
  <c r="AL21" i="22"/>
  <c r="AN21" i="22"/>
  <c r="AP21" i="22"/>
  <c r="AR21" i="22"/>
  <c r="AT21" i="22"/>
  <c r="AV21" i="22"/>
  <c r="AX21" i="22"/>
  <c r="AZ21" i="22"/>
  <c r="BB21" i="22"/>
  <c r="BD21" i="22"/>
  <c r="BF21" i="22"/>
  <c r="BH21" i="22"/>
  <c r="BJ21" i="22"/>
  <c r="BL21" i="22"/>
  <c r="B22" i="22"/>
  <c r="D22" i="22"/>
  <c r="F22" i="22"/>
  <c r="H22" i="22"/>
  <c r="J22" i="22"/>
  <c r="L22" i="22"/>
  <c r="N22" i="22"/>
  <c r="P22" i="22"/>
  <c r="V22" i="22"/>
  <c r="X22" i="22"/>
  <c r="Z22" i="22"/>
  <c r="AB22" i="22"/>
  <c r="AD22" i="22"/>
  <c r="AF22" i="22"/>
  <c r="AH22" i="22"/>
  <c r="AJ22" i="22"/>
  <c r="AL22" i="22"/>
  <c r="AN22" i="22"/>
  <c r="AP22" i="22"/>
  <c r="AR22" i="22"/>
  <c r="AT22" i="22"/>
  <c r="AV22" i="22"/>
  <c r="AX22" i="22"/>
  <c r="AZ22" i="22"/>
  <c r="BB22" i="22"/>
  <c r="BD22" i="22"/>
  <c r="BF22" i="22"/>
  <c r="BH22" i="22"/>
  <c r="BJ22" i="22"/>
  <c r="BL22" i="22"/>
  <c r="B23" i="22"/>
  <c r="D23" i="22"/>
  <c r="F23" i="22"/>
  <c r="H23" i="22"/>
  <c r="J23" i="22"/>
  <c r="L23" i="22"/>
  <c r="N23" i="22"/>
  <c r="P23" i="22"/>
  <c r="R23" i="22"/>
  <c r="T23" i="22"/>
  <c r="AD23" i="22"/>
  <c r="AF23" i="22"/>
  <c r="AH23" i="22"/>
  <c r="AP23" i="22"/>
  <c r="AR23" i="22"/>
  <c r="BB23" i="22"/>
  <c r="BD23" i="22"/>
  <c r="BF23" i="22"/>
  <c r="B24" i="22"/>
  <c r="D24" i="22"/>
  <c r="F24" i="22"/>
  <c r="H24" i="22"/>
  <c r="J24" i="22"/>
  <c r="L24" i="22"/>
  <c r="N24" i="22"/>
  <c r="Z24" i="22"/>
  <c r="AL24" i="22"/>
  <c r="AN24" i="22"/>
  <c r="AP24" i="22"/>
  <c r="AR24" i="22"/>
  <c r="AT24" i="22"/>
  <c r="AV24" i="22"/>
  <c r="AX24" i="22"/>
  <c r="AZ24" i="22"/>
  <c r="BB24" i="22"/>
  <c r="BJ24" i="22"/>
  <c r="BL24" i="22"/>
  <c r="B25" i="22"/>
  <c r="D25" i="22"/>
  <c r="J25" i="22"/>
  <c r="L25" i="22"/>
  <c r="N25" i="22"/>
  <c r="P25" i="22"/>
  <c r="R25" i="22"/>
  <c r="T25" i="22"/>
  <c r="V25" i="22"/>
  <c r="X25" i="22"/>
  <c r="Z25" i="22"/>
  <c r="AB25" i="22"/>
  <c r="AD25" i="22"/>
  <c r="AF25" i="22"/>
  <c r="AH25" i="22"/>
  <c r="AJ25" i="22"/>
  <c r="AL25" i="22"/>
  <c r="AN25" i="22"/>
  <c r="AP25" i="22"/>
  <c r="AR25" i="22"/>
  <c r="AT25" i="22"/>
  <c r="AV25" i="22"/>
  <c r="AX25" i="22"/>
  <c r="AZ25" i="22"/>
  <c r="BB25" i="22"/>
  <c r="BD25" i="22"/>
  <c r="BF25" i="22"/>
  <c r="BH25" i="22"/>
  <c r="BJ25" i="22"/>
  <c r="BL25" i="22"/>
  <c r="F26" i="22"/>
  <c r="H26" i="22"/>
  <c r="J26" i="22"/>
  <c r="L26" i="22"/>
  <c r="N26" i="22"/>
  <c r="R26" i="22"/>
  <c r="T26" i="22"/>
  <c r="V26" i="22"/>
  <c r="X26" i="22"/>
  <c r="Z26" i="22"/>
  <c r="AB26" i="22"/>
  <c r="AD26" i="22"/>
  <c r="AF26" i="22"/>
  <c r="AP26" i="22"/>
  <c r="AR26" i="22"/>
  <c r="AT26" i="22"/>
  <c r="AV26" i="22"/>
  <c r="AX26" i="22"/>
  <c r="AZ26" i="22"/>
  <c r="BB26" i="22"/>
  <c r="BD26" i="22"/>
  <c r="BF26" i="22"/>
  <c r="BH26" i="22"/>
  <c r="BJ26" i="22"/>
  <c r="BL26" i="22"/>
  <c r="B27" i="22"/>
  <c r="D27" i="22"/>
  <c r="F27" i="22"/>
  <c r="H27" i="22"/>
  <c r="J27" i="22"/>
  <c r="L27" i="22"/>
  <c r="N27" i="22"/>
  <c r="P27" i="22"/>
  <c r="R27" i="22"/>
  <c r="T27" i="22"/>
  <c r="V27" i="22"/>
  <c r="X27" i="22"/>
  <c r="Z27" i="22"/>
  <c r="AB27" i="22"/>
  <c r="AD27" i="22"/>
  <c r="AF27" i="22"/>
  <c r="AH27" i="22"/>
  <c r="AJ27" i="22"/>
  <c r="AL27" i="22"/>
  <c r="AN27" i="22"/>
  <c r="AP27" i="22"/>
  <c r="AR27" i="22"/>
  <c r="AT27" i="22"/>
  <c r="AV27" i="22"/>
  <c r="AX27" i="22"/>
  <c r="AZ27" i="22"/>
  <c r="BD27" i="22"/>
  <c r="BF27" i="22"/>
  <c r="BH27" i="22"/>
  <c r="BJ27" i="22"/>
  <c r="BL27" i="22"/>
  <c r="B28" i="22"/>
  <c r="D28" i="22"/>
  <c r="F28" i="22"/>
  <c r="H28" i="22"/>
  <c r="J28" i="22"/>
  <c r="L28" i="22"/>
  <c r="N28" i="22"/>
  <c r="P28" i="22"/>
  <c r="R28" i="22"/>
  <c r="T28" i="22"/>
  <c r="V28" i="22"/>
  <c r="X28" i="22"/>
  <c r="Z28" i="22"/>
  <c r="AB28" i="22"/>
  <c r="AD28" i="22"/>
  <c r="AF28" i="22"/>
  <c r="AH28" i="22"/>
  <c r="AJ28" i="22"/>
  <c r="AL28" i="22"/>
  <c r="AN28" i="22"/>
  <c r="AP28" i="22"/>
  <c r="AR28" i="22"/>
  <c r="BF28" i="22"/>
  <c r="BH28" i="22"/>
  <c r="H29" i="22"/>
  <c r="J29" i="22"/>
  <c r="L29" i="22"/>
  <c r="N29" i="22"/>
  <c r="P29" i="22"/>
  <c r="R29" i="22"/>
  <c r="T29" i="22"/>
  <c r="V29" i="22"/>
  <c r="X29" i="22"/>
  <c r="Z29" i="22"/>
  <c r="AB29" i="22"/>
  <c r="AD29" i="22"/>
  <c r="AF29" i="22"/>
  <c r="B27" i="12"/>
  <c r="B177" i="17"/>
  <c r="AG284" i="19"/>
  <c r="AG272" i="19"/>
  <c r="AG288" i="19"/>
  <c r="AG276" i="19"/>
  <c r="B344" i="19"/>
  <c r="B370" i="19" s="1"/>
  <c r="B16" i="12"/>
  <c r="B176" i="17"/>
  <c r="B178" i="17"/>
  <c r="B29" i="19"/>
  <c r="E22" i="19"/>
  <c r="E28" i="19"/>
  <c r="I88" i="2"/>
  <c r="I116" i="2"/>
  <c r="I72" i="2"/>
  <c r="I84" i="2"/>
  <c r="I17" i="2"/>
  <c r="I156" i="2"/>
  <c r="H5" i="4"/>
  <c r="I136" i="2"/>
  <c r="J204" i="2"/>
  <c r="J226" i="2"/>
  <c r="G33" i="5"/>
  <c r="G6" i="6"/>
  <c r="G94" i="7"/>
  <c r="F79" i="7"/>
  <c r="G21" i="7"/>
  <c r="G62" i="7"/>
  <c r="G186" i="7"/>
  <c r="G14" i="8"/>
  <c r="G134" i="7"/>
  <c r="G5" i="8"/>
  <c r="G53" i="9"/>
  <c r="G107" i="8"/>
  <c r="G6" i="9"/>
  <c r="G34" i="8"/>
  <c r="G15" i="9"/>
  <c r="G46" i="9"/>
  <c r="G71" i="9"/>
  <c r="G7" i="10"/>
  <c r="G22" i="10"/>
  <c r="G39" i="10"/>
  <c r="G21" i="11"/>
  <c r="H19" i="12"/>
  <c r="H25" i="13"/>
  <c r="G9" i="17"/>
  <c r="G7" i="11"/>
  <c r="H39" i="12"/>
  <c r="H48" i="12"/>
  <c r="H5" i="14"/>
  <c r="G76" i="17"/>
  <c r="H7" i="12"/>
  <c r="H7" i="13"/>
  <c r="H4" i="17"/>
  <c r="G23" i="17"/>
  <c r="G90" i="17"/>
  <c r="G104" i="17"/>
  <c r="H123" i="17"/>
  <c r="H151" i="17"/>
  <c r="G183" i="17"/>
  <c r="G190" i="17"/>
  <c r="G195" i="17"/>
  <c r="G202" i="17"/>
  <c r="G207" i="17"/>
  <c r="G214" i="17"/>
  <c r="G219" i="17"/>
  <c r="G226" i="17"/>
  <c r="G231" i="17"/>
  <c r="G238" i="17"/>
  <c r="G243" i="17"/>
  <c r="H250" i="17"/>
  <c r="H252" i="17"/>
  <c r="H262" i="17"/>
  <c r="G18" i="19"/>
  <c r="G165" i="17"/>
  <c r="G186" i="17"/>
  <c r="G198" i="17"/>
  <c r="G210" i="17"/>
  <c r="G222" i="17"/>
  <c r="G234" i="17"/>
  <c r="H249" i="17"/>
  <c r="H261" i="17"/>
  <c r="H137" i="17"/>
  <c r="H170" i="17"/>
  <c r="G189" i="17"/>
  <c r="G196" i="17"/>
  <c r="G201" i="17"/>
  <c r="G208" i="17"/>
  <c r="G213" i="17"/>
  <c r="G220" i="17"/>
  <c r="G225" i="17"/>
  <c r="G232" i="17"/>
  <c r="G237" i="17"/>
  <c r="G244" i="17"/>
  <c r="H246" i="17"/>
  <c r="H256" i="17"/>
  <c r="H258" i="17"/>
  <c r="G118" i="17"/>
  <c r="G156" i="17"/>
  <c r="H162" i="17"/>
  <c r="G175" i="17"/>
  <c r="G180" i="17"/>
  <c r="G192" i="17"/>
  <c r="G204" i="17"/>
  <c r="G216" i="17"/>
  <c r="G228" i="17"/>
  <c r="G240" i="17"/>
  <c r="H255" i="17"/>
  <c r="G32" i="19"/>
  <c r="G65" i="19"/>
  <c r="H142" i="19"/>
  <c r="H147" i="19"/>
  <c r="G155" i="19"/>
  <c r="G252" i="19"/>
  <c r="G258" i="19"/>
  <c r="AQ276" i="19"/>
  <c r="G308" i="19"/>
  <c r="G332" i="19"/>
  <c r="H341" i="19"/>
  <c r="H346" i="19"/>
  <c r="AQ407" i="19"/>
  <c r="G46" i="19"/>
  <c r="G70" i="19"/>
  <c r="H246" i="19"/>
  <c r="H302" i="19"/>
  <c r="H325" i="19"/>
  <c r="G193" i="19"/>
  <c r="G237" i="19"/>
  <c r="H243" i="19"/>
  <c r="H255" i="19"/>
  <c r="AQ284" i="19"/>
  <c r="G4" i="19"/>
  <c r="G60" i="19"/>
  <c r="G120" i="19"/>
  <c r="G137" i="19"/>
  <c r="G169" i="19"/>
  <c r="G179" i="19"/>
  <c r="G249" i="19"/>
  <c r="AQ272" i="19"/>
  <c r="AQ288" i="19"/>
  <c r="G299" i="19"/>
  <c r="B22" i="4"/>
  <c r="B24" i="4"/>
  <c r="B11" i="13"/>
  <c r="B159" i="17"/>
  <c r="B10" i="13"/>
  <c r="B158" i="17"/>
  <c r="B12" i="13"/>
  <c r="B9" i="13"/>
  <c r="B157" i="17"/>
  <c r="E42" i="19"/>
  <c r="E36" i="19"/>
  <c r="F36" i="19"/>
  <c r="F42" i="19"/>
  <c r="B36" i="19"/>
  <c r="B42" i="19"/>
  <c r="E20" i="2"/>
  <c r="C26" i="19"/>
  <c r="F20" i="19"/>
  <c r="B10" i="19"/>
  <c r="E139" i="17"/>
  <c r="E140" i="17"/>
  <c r="E143" i="17"/>
  <c r="E144" i="17"/>
  <c r="E152" i="17"/>
  <c r="E153" i="17"/>
  <c r="E154" i="17" s="1"/>
  <c r="E187" i="17"/>
  <c r="E199" i="17"/>
  <c r="E211" i="17"/>
  <c r="E223" i="17"/>
  <c r="E235" i="17"/>
  <c r="F253" i="17"/>
  <c r="E193" i="17"/>
  <c r="E205" i="17"/>
  <c r="E217" i="17"/>
  <c r="E229" i="17"/>
  <c r="E241" i="17"/>
  <c r="F247" i="17"/>
  <c r="F259" i="17"/>
  <c r="D143" i="17"/>
  <c r="D144" i="17"/>
  <c r="D145" i="17" s="1"/>
  <c r="D152" i="17"/>
  <c r="D153" i="17"/>
  <c r="D187" i="17"/>
  <c r="D199" i="17"/>
  <c r="D211" i="17"/>
  <c r="D223" i="17"/>
  <c r="D235" i="17"/>
  <c r="E253" i="17"/>
  <c r="D193" i="17"/>
  <c r="D205" i="17"/>
  <c r="D217" i="17"/>
  <c r="D229" i="17"/>
  <c r="D241" i="17"/>
  <c r="E247" i="17"/>
  <c r="E259" i="17"/>
  <c r="D139" i="17"/>
  <c r="D140" i="17"/>
  <c r="C193" i="17"/>
  <c r="C205" i="17"/>
  <c r="C217" i="17"/>
  <c r="C229" i="17"/>
  <c r="C241" i="17"/>
  <c r="D247" i="17"/>
  <c r="D259" i="17"/>
  <c r="C139" i="17"/>
  <c r="C140" i="17"/>
  <c r="C143" i="17"/>
  <c r="C144" i="17"/>
  <c r="C148" i="17" s="1"/>
  <c r="C152" i="17"/>
  <c r="C153" i="17"/>
  <c r="C154" i="17" s="1"/>
  <c r="C187" i="17"/>
  <c r="C199" i="17"/>
  <c r="C211" i="17"/>
  <c r="C223" i="17"/>
  <c r="C235" i="17"/>
  <c r="D253" i="17"/>
  <c r="F40" i="18"/>
  <c r="B253" i="17"/>
  <c r="B247" i="17"/>
  <c r="B259" i="17"/>
  <c r="F29" i="18"/>
  <c r="H29" i="18"/>
  <c r="B6" i="5"/>
  <c r="B9" i="12"/>
  <c r="B28" i="12"/>
  <c r="B24" i="12"/>
  <c r="B32" i="12"/>
  <c r="B174" i="7"/>
  <c r="B16" i="17"/>
  <c r="C21" i="19"/>
  <c r="F44" i="18"/>
  <c r="F43" i="18"/>
  <c r="F42" i="18"/>
  <c r="H5" i="3"/>
  <c r="I5" i="4"/>
  <c r="I33" i="4"/>
  <c r="H33" i="5"/>
  <c r="H6" i="6"/>
  <c r="H5" i="5"/>
  <c r="G46" i="7"/>
  <c r="G12" i="7"/>
  <c r="H29" i="7"/>
  <c r="H94" i="7"/>
  <c r="G79" i="7"/>
  <c r="H7" i="7"/>
  <c r="H21" i="7"/>
  <c r="H62" i="7"/>
  <c r="H113" i="7"/>
  <c r="H166" i="7"/>
  <c r="H186" i="7"/>
  <c r="H14" i="8"/>
  <c r="H51" i="8"/>
  <c r="G102" i="7"/>
  <c r="G151" i="7"/>
  <c r="H134" i="7"/>
  <c r="H5" i="8"/>
  <c r="H34" i="8"/>
  <c r="H15" i="9"/>
  <c r="H46" i="9"/>
  <c r="H53" i="9"/>
  <c r="H107" i="8"/>
  <c r="H6" i="9"/>
  <c r="H21" i="11"/>
  <c r="H71" i="9"/>
  <c r="H7" i="10"/>
  <c r="H22" i="10"/>
  <c r="H39" i="10"/>
  <c r="I7" i="12"/>
  <c r="I7" i="13"/>
  <c r="I19" i="12"/>
  <c r="I25" i="13"/>
  <c r="H7" i="11"/>
  <c r="I39" i="12"/>
  <c r="I48" i="12"/>
  <c r="I5" i="14"/>
  <c r="A2" i="2"/>
  <c r="A2" i="3"/>
  <c r="A2" i="4"/>
  <c r="A2" i="5"/>
  <c r="A2" i="6"/>
  <c r="A2" i="7"/>
  <c r="A2" i="8"/>
  <c r="A2" i="9"/>
  <c r="A2" i="11"/>
  <c r="A2" i="10"/>
  <c r="A2" i="13"/>
  <c r="A2" i="14"/>
  <c r="A2" i="15"/>
  <c r="A2" i="12"/>
  <c r="A2" i="16"/>
  <c r="A2" i="17"/>
  <c r="B193" i="17"/>
  <c r="B205" i="17"/>
  <c r="B217" i="17"/>
  <c r="B229" i="17"/>
  <c r="B241" i="17"/>
  <c r="C247" i="17"/>
  <c r="C259" i="17"/>
  <c r="F41" i="18"/>
  <c r="D136" i="2" s="1"/>
  <c r="B139" i="17"/>
  <c r="B140" i="17"/>
  <c r="B143" i="17"/>
  <c r="B144" i="17"/>
  <c r="B152" i="17"/>
  <c r="B153" i="17"/>
  <c r="B154" i="17" s="1"/>
  <c r="B187" i="17"/>
  <c r="B199" i="17"/>
  <c r="B211" i="17"/>
  <c r="B223" i="17"/>
  <c r="B235" i="17"/>
  <c r="C253" i="17"/>
  <c r="A2" i="18"/>
  <c r="G183" i="19"/>
  <c r="C183" i="19"/>
  <c r="C191" i="19" s="1"/>
  <c r="D76" i="2"/>
  <c r="D74" i="2"/>
  <c r="B158" i="19" s="1"/>
  <c r="D75" i="2"/>
  <c r="D73" i="2"/>
  <c r="B25" i="10" s="1"/>
  <c r="B70" i="10"/>
  <c r="C70" i="10"/>
  <c r="D70" i="10" s="1"/>
  <c r="E70" i="10" s="1"/>
  <c r="B71" i="10"/>
  <c r="C71" i="10" s="1"/>
  <c r="D71" i="10" s="1"/>
  <c r="E71" i="10" s="1"/>
  <c r="B74" i="10"/>
  <c r="C74" i="10" s="1"/>
  <c r="D74" i="10" s="1"/>
  <c r="E74" i="10" s="1"/>
  <c r="B75" i="10"/>
  <c r="C75" i="10" s="1"/>
  <c r="D75" i="10" s="1"/>
  <c r="E75" i="10" s="1"/>
  <c r="B40" i="19"/>
  <c r="B26" i="19"/>
  <c r="G21" i="19"/>
  <c r="B11" i="19"/>
  <c r="G193" i="17"/>
  <c r="G205" i="17"/>
  <c r="G217" i="17"/>
  <c r="G229" i="17"/>
  <c r="G241" i="17"/>
  <c r="H247" i="17"/>
  <c r="H259" i="17"/>
  <c r="G139" i="17"/>
  <c r="G147" i="17" s="1"/>
  <c r="G140" i="17"/>
  <c r="G143" i="17"/>
  <c r="G144" i="17"/>
  <c r="G152" i="17"/>
  <c r="G154" i="17"/>
  <c r="G153" i="17"/>
  <c r="G187" i="17"/>
  <c r="G199" i="17"/>
  <c r="G211" i="17"/>
  <c r="G223" i="17"/>
  <c r="G235" i="17"/>
  <c r="H253" i="17"/>
  <c r="G29" i="18"/>
  <c r="B8" i="4"/>
  <c r="B189" i="19"/>
  <c r="B130" i="19"/>
  <c r="G36" i="19"/>
  <c r="E21" i="2"/>
  <c r="C11" i="19" s="1"/>
  <c r="D24" i="19"/>
  <c r="B20" i="19"/>
  <c r="E188" i="2"/>
  <c r="AK289" i="19" s="1"/>
  <c r="AK290" i="19" s="1"/>
  <c r="H143" i="17"/>
  <c r="H144" i="17"/>
  <c r="H145" i="17" s="1"/>
  <c r="H152" i="17"/>
  <c r="H154" i="17"/>
  <c r="H153" i="17"/>
  <c r="H139" i="17"/>
  <c r="H140" i="17"/>
  <c r="I50" i="2"/>
  <c r="H88" i="2"/>
  <c r="H116" i="2"/>
  <c r="H136" i="2"/>
  <c r="H32" i="2"/>
  <c r="H62" i="2"/>
  <c r="H72" i="2"/>
  <c r="H84" i="2"/>
  <c r="H107" i="2"/>
  <c r="H122" i="2"/>
  <c r="H17" i="2"/>
  <c r="I217" i="2"/>
  <c r="G5" i="4"/>
  <c r="H179" i="2"/>
  <c r="H168" i="2"/>
  <c r="I204" i="2"/>
  <c r="I226" i="2"/>
  <c r="H156" i="2"/>
  <c r="F5" i="3"/>
  <c r="F5" i="5"/>
  <c r="F7" i="7"/>
  <c r="G33" i="4"/>
  <c r="F33" i="5"/>
  <c r="F6" i="6"/>
  <c r="E79" i="7"/>
  <c r="E102" i="7"/>
  <c r="F21" i="7"/>
  <c r="F62" i="7"/>
  <c r="F113" i="7"/>
  <c r="E46" i="7"/>
  <c r="E12" i="7"/>
  <c r="F29" i="7"/>
  <c r="F94" i="7"/>
  <c r="E151" i="7"/>
  <c r="F134" i="7"/>
  <c r="F5" i="8"/>
  <c r="F34" i="8"/>
  <c r="F166" i="7"/>
  <c r="F186" i="7"/>
  <c r="F14" i="8"/>
  <c r="F51" i="8"/>
  <c r="F107" i="8"/>
  <c r="F6" i="9"/>
  <c r="F71" i="9"/>
  <c r="F15" i="9"/>
  <c r="F46" i="9"/>
  <c r="F7" i="10"/>
  <c r="G7" i="12"/>
  <c r="F22" i="10"/>
  <c r="F39" i="10"/>
  <c r="F7" i="11"/>
  <c r="F53" i="9"/>
  <c r="G39" i="12"/>
  <c r="G48" i="12"/>
  <c r="G5" i="14"/>
  <c r="F76" i="17"/>
  <c r="G7" i="13"/>
  <c r="G4" i="17"/>
  <c r="F23" i="17"/>
  <c r="F21" i="11"/>
  <c r="G19" i="12"/>
  <c r="G25" i="13"/>
  <c r="F9" i="17"/>
  <c r="F165" i="17"/>
  <c r="F186" i="17"/>
  <c r="F198" i="17"/>
  <c r="F210" i="17"/>
  <c r="F222" i="17"/>
  <c r="F234" i="17"/>
  <c r="G249" i="17"/>
  <c r="G261" i="17"/>
  <c r="F4" i="19"/>
  <c r="F60" i="19"/>
  <c r="F65" i="19"/>
  <c r="F70" i="19"/>
  <c r="G137" i="17"/>
  <c r="G170" i="17"/>
  <c r="F189" i="17"/>
  <c r="F196" i="17"/>
  <c r="F201" i="17"/>
  <c r="F208" i="17"/>
  <c r="F213" i="17"/>
  <c r="F220" i="17"/>
  <c r="F225" i="17"/>
  <c r="F232" i="17"/>
  <c r="F237" i="17"/>
  <c r="F244" i="17"/>
  <c r="G246" i="17"/>
  <c r="G256" i="17"/>
  <c r="G258" i="17"/>
  <c r="F118" i="17"/>
  <c r="F156" i="17"/>
  <c r="G162" i="17"/>
  <c r="F175" i="17"/>
  <c r="F180" i="17"/>
  <c r="F192" i="17"/>
  <c r="F204" i="17"/>
  <c r="F216" i="17"/>
  <c r="F228" i="17"/>
  <c r="F240" i="17"/>
  <c r="G255" i="17"/>
  <c r="F90" i="17"/>
  <c r="F104" i="17"/>
  <c r="G123" i="17"/>
  <c r="G151" i="17"/>
  <c r="F183" i="17"/>
  <c r="F190" i="17"/>
  <c r="F195" i="17"/>
  <c r="F202" i="17"/>
  <c r="F207" i="17"/>
  <c r="F214" i="17"/>
  <c r="F219" i="17"/>
  <c r="F226" i="17"/>
  <c r="F231" i="17"/>
  <c r="F238" i="17"/>
  <c r="F243" i="17"/>
  <c r="G250" i="17"/>
  <c r="G252" i="17"/>
  <c r="G262" i="17"/>
  <c r="G253" i="17"/>
  <c r="F235" i="17"/>
  <c r="F223" i="17"/>
  <c r="F211" i="17"/>
  <c r="F199" i="17"/>
  <c r="F187" i="17"/>
  <c r="F153" i="17"/>
  <c r="F152" i="17"/>
  <c r="F144" i="17"/>
  <c r="F143" i="17"/>
  <c r="F145" i="17" s="1"/>
  <c r="F140" i="17"/>
  <c r="F139" i="17"/>
  <c r="F147" i="17" s="1"/>
  <c r="G259" i="17"/>
  <c r="G247" i="17"/>
  <c r="F241" i="17"/>
  <c r="F229" i="17"/>
  <c r="F217" i="17"/>
  <c r="F205" i="17"/>
  <c r="F193" i="17"/>
  <c r="B13" i="11"/>
  <c r="B98" i="9"/>
  <c r="B96" i="9"/>
  <c r="B39" i="9"/>
  <c r="F144" i="2"/>
  <c r="F20" i="2"/>
  <c r="G141" i="17"/>
  <c r="G22" i="19"/>
  <c r="B26" i="10"/>
  <c r="BD20" i="22"/>
  <c r="B141" i="17"/>
  <c r="B147" i="17"/>
  <c r="E19" i="2"/>
  <c r="C29" i="19"/>
  <c r="Z284" i="19"/>
  <c r="Z272" i="19"/>
  <c r="Z288" i="19"/>
  <c r="Z276" i="19"/>
  <c r="Z328" i="19"/>
  <c r="Z407" i="19"/>
  <c r="D50" i="2"/>
  <c r="D204" i="2"/>
  <c r="D226" i="2"/>
  <c r="D217" i="2"/>
  <c r="B4" i="17"/>
  <c r="B137" i="17"/>
  <c r="B170" i="17"/>
  <c r="B246" i="17"/>
  <c r="B256" i="17"/>
  <c r="B258" i="17"/>
  <c r="B162" i="17"/>
  <c r="B255" i="17"/>
  <c r="B123" i="17"/>
  <c r="B151" i="17"/>
  <c r="B250" i="17"/>
  <c r="B252" i="17"/>
  <c r="B262" i="17"/>
  <c r="B249" i="17"/>
  <c r="B261" i="17"/>
  <c r="B243" i="19"/>
  <c r="B255" i="19"/>
  <c r="AK284" i="19"/>
  <c r="B296" i="19"/>
  <c r="B375" i="19"/>
  <c r="B398" i="19"/>
  <c r="AK272" i="19"/>
  <c r="AK288" i="19"/>
  <c r="B142" i="19"/>
  <c r="B147" i="19"/>
  <c r="AK276" i="19"/>
  <c r="B246" i="19"/>
  <c r="B302" i="19"/>
  <c r="B325" i="19"/>
  <c r="B378" i="19"/>
  <c r="AK407" i="19"/>
  <c r="AK328" i="19"/>
  <c r="B341" i="19"/>
  <c r="B346" i="19"/>
  <c r="B349" i="19"/>
  <c r="B366" i="19"/>
  <c r="B390" i="19"/>
  <c r="B395" i="19"/>
  <c r="B401" i="19"/>
  <c r="D147" i="17"/>
  <c r="D141" i="17"/>
  <c r="F22" i="19"/>
  <c r="F28" i="19"/>
  <c r="C46" i="12"/>
  <c r="D277" i="19"/>
  <c r="H277" i="19"/>
  <c r="P277" i="19"/>
  <c r="T277" i="19"/>
  <c r="X277" i="19"/>
  <c r="AF277" i="19"/>
  <c r="AJ277" i="19"/>
  <c r="AN277" i="19"/>
  <c r="I329" i="19"/>
  <c r="I330" i="19" s="1"/>
  <c r="M329" i="19"/>
  <c r="M330" i="19" s="1"/>
  <c r="Q329" i="19"/>
  <c r="Q330" i="19" s="1"/>
  <c r="Y329" i="19"/>
  <c r="Y330" i="19" s="1"/>
  <c r="AC329" i="19"/>
  <c r="AC330" i="19" s="1"/>
  <c r="AG329" i="19"/>
  <c r="AG330" i="19" s="1"/>
  <c r="E277" i="19"/>
  <c r="I277" i="19"/>
  <c r="M277" i="19"/>
  <c r="U277" i="19"/>
  <c r="Y277" i="19"/>
  <c r="AC277" i="19"/>
  <c r="AC273" i="19" s="1"/>
  <c r="AC274" i="19" s="1"/>
  <c r="AK277" i="19"/>
  <c r="AO277" i="19"/>
  <c r="B289" i="19"/>
  <c r="B290" i="19" s="1"/>
  <c r="J289" i="19"/>
  <c r="J290" i="19" s="1"/>
  <c r="N289" i="19"/>
  <c r="N290" i="19" s="1"/>
  <c r="R289" i="19"/>
  <c r="R290" i="19" s="1"/>
  <c r="Z289" i="19"/>
  <c r="AD289" i="19"/>
  <c r="AD290" i="19"/>
  <c r="B277" i="19"/>
  <c r="F277" i="19"/>
  <c r="F273" i="19" s="1"/>
  <c r="N277" i="19"/>
  <c r="R277" i="19"/>
  <c r="V277" i="19"/>
  <c r="V273" i="19" s="1"/>
  <c r="V274" i="19" s="1"/>
  <c r="AD277" i="19"/>
  <c r="AH277" i="19"/>
  <c r="AL277" i="19"/>
  <c r="C289" i="19"/>
  <c r="C290" i="19" s="1"/>
  <c r="G289" i="19"/>
  <c r="G290" i="19" s="1"/>
  <c r="K289" i="19"/>
  <c r="K290" i="19" s="1"/>
  <c r="S289" i="19"/>
  <c r="S290" i="19" s="1"/>
  <c r="W289" i="19"/>
  <c r="W290" i="19" s="1"/>
  <c r="AA289" i="19"/>
  <c r="AA290" i="19" s="1"/>
  <c r="AI289" i="19"/>
  <c r="AI290" i="19" s="1"/>
  <c r="C277" i="19"/>
  <c r="G277" i="19"/>
  <c r="G278" i="19" s="1"/>
  <c r="O277" i="19"/>
  <c r="S277" i="19"/>
  <c r="W277" i="19"/>
  <c r="AE277" i="19"/>
  <c r="AI277" i="19"/>
  <c r="AM277" i="19"/>
  <c r="AM278" i="19" s="1"/>
  <c r="D289" i="19"/>
  <c r="D285" i="19" s="1"/>
  <c r="H289" i="19"/>
  <c r="H290" i="19" s="1"/>
  <c r="L289" i="19"/>
  <c r="L290" i="19" s="1"/>
  <c r="P289" i="19"/>
  <c r="P290" i="19" s="1"/>
  <c r="T289" i="19"/>
  <c r="T290" i="19" s="1"/>
  <c r="X289" i="19"/>
  <c r="X290" i="19" s="1"/>
  <c r="AB289" i="19"/>
  <c r="AB290" i="19" s="1"/>
  <c r="AF289" i="19"/>
  <c r="AF290" i="19" s="1"/>
  <c r="AJ289" i="19"/>
  <c r="D329" i="19"/>
  <c r="D330" i="19" s="1"/>
  <c r="J329" i="19"/>
  <c r="J330" i="19" s="1"/>
  <c r="O329" i="19"/>
  <c r="O330" i="19" s="1"/>
  <c r="T329" i="19"/>
  <c r="T330" i="19" s="1"/>
  <c r="Z329" i="19"/>
  <c r="Z330" i="19" s="1"/>
  <c r="AJ329" i="19"/>
  <c r="AJ330" i="19" s="1"/>
  <c r="BB27" i="22"/>
  <c r="F329" i="19"/>
  <c r="F330" i="19" s="1"/>
  <c r="K329" i="19"/>
  <c r="K330" i="19" s="1"/>
  <c r="P329" i="19"/>
  <c r="P330" i="19" s="1"/>
  <c r="V329" i="19"/>
  <c r="V330" i="19" s="1"/>
  <c r="AA329" i="19"/>
  <c r="AA330" i="19" s="1"/>
  <c r="AF329" i="19"/>
  <c r="AF330" i="19" s="1"/>
  <c r="B329" i="19"/>
  <c r="B330" i="19" s="1"/>
  <c r="G329" i="19"/>
  <c r="G330" i="19" s="1"/>
  <c r="L329" i="19"/>
  <c r="L330" i="19" s="1"/>
  <c r="R329" i="19"/>
  <c r="R330" i="19" s="1"/>
  <c r="W329" i="19"/>
  <c r="W330" i="19" s="1"/>
  <c r="AB329" i="19"/>
  <c r="AB330" i="19" s="1"/>
  <c r="AH329" i="19"/>
  <c r="AH330" i="19" s="1"/>
  <c r="C329" i="19"/>
  <c r="C330" i="19" s="1"/>
  <c r="H329" i="19"/>
  <c r="H330" i="19" s="1"/>
  <c r="N329" i="19"/>
  <c r="N330" i="19" s="1"/>
  <c r="S329" i="19"/>
  <c r="S330" i="19" s="1"/>
  <c r="X329" i="19"/>
  <c r="X330" i="19" s="1"/>
  <c r="AD329" i="19"/>
  <c r="AD330" i="19" s="1"/>
  <c r="AI329" i="19"/>
  <c r="AI330" i="19" s="1"/>
  <c r="C70" i="7"/>
  <c r="C16" i="17" s="1"/>
  <c r="AR17" i="22"/>
  <c r="Y289" i="19"/>
  <c r="Y290" i="19" s="1"/>
  <c r="B30" i="10"/>
  <c r="B162" i="19"/>
  <c r="P21" i="22"/>
  <c r="E50" i="2"/>
  <c r="D88" i="2"/>
  <c r="D116" i="2"/>
  <c r="D32" i="2"/>
  <c r="D62" i="2"/>
  <c r="D72" i="2"/>
  <c r="D107" i="2"/>
  <c r="D122" i="2"/>
  <c r="D17" i="2"/>
  <c r="E217" i="2"/>
  <c r="C5" i="4"/>
  <c r="D179" i="2"/>
  <c r="E204" i="2"/>
  <c r="E226" i="2"/>
  <c r="B5" i="3"/>
  <c r="B7" i="7"/>
  <c r="C33" i="4"/>
  <c r="B33" i="5"/>
  <c r="B21" i="7"/>
  <c r="B62" i="7"/>
  <c r="B113" i="7"/>
  <c r="B94" i="7"/>
  <c r="B134" i="7"/>
  <c r="B5" i="8"/>
  <c r="B166" i="7"/>
  <c r="B186" i="7"/>
  <c r="B14" i="8"/>
  <c r="B107" i="8"/>
  <c r="B6" i="9"/>
  <c r="B71" i="9"/>
  <c r="B46" i="9"/>
  <c r="B7" i="10"/>
  <c r="C7" i="12"/>
  <c r="B39" i="10"/>
  <c r="B7" i="11"/>
  <c r="B53" i="9"/>
  <c r="C19" i="12"/>
  <c r="C39" i="12"/>
  <c r="C48" i="12"/>
  <c r="B76" i="17"/>
  <c r="C7" i="13"/>
  <c r="C4" i="17"/>
  <c r="C25" i="13"/>
  <c r="B9" i="17"/>
  <c r="B90" i="17"/>
  <c r="B186" i="17"/>
  <c r="B198" i="17"/>
  <c r="B210" i="17"/>
  <c r="B234" i="17"/>
  <c r="C249" i="17"/>
  <c r="C261" i="17"/>
  <c r="B60" i="19"/>
  <c r="B65" i="19"/>
  <c r="B70" i="19"/>
  <c r="C170" i="17"/>
  <c r="B189" i="17"/>
  <c r="B196" i="17"/>
  <c r="B208" i="17"/>
  <c r="B213" i="17"/>
  <c r="B220" i="17"/>
  <c r="B232" i="17"/>
  <c r="B237" i="17"/>
  <c r="B244" i="17"/>
  <c r="C256" i="17"/>
  <c r="C258" i="17"/>
  <c r="B118" i="17"/>
  <c r="C162" i="17"/>
  <c r="B175" i="17"/>
  <c r="B180" i="17"/>
  <c r="B204" i="17"/>
  <c r="B216" i="17"/>
  <c r="B228" i="17"/>
  <c r="C255" i="17"/>
  <c r="B104" i="17"/>
  <c r="C123" i="17"/>
  <c r="B183" i="17"/>
  <c r="B190" i="17"/>
  <c r="B195" i="17"/>
  <c r="B207" i="17"/>
  <c r="B214" i="17"/>
  <c r="B219" i="17"/>
  <c r="B231" i="17"/>
  <c r="B238" i="17"/>
  <c r="B243" i="17"/>
  <c r="C252" i="17"/>
  <c r="C262" i="17"/>
  <c r="B32" i="19"/>
  <c r="C302" i="19"/>
  <c r="C325" i="19"/>
  <c r="B335" i="19"/>
  <c r="C366" i="19"/>
  <c r="C378" i="19"/>
  <c r="C401" i="19"/>
  <c r="B46" i="19"/>
  <c r="B193" i="19"/>
  <c r="B237" i="19"/>
  <c r="C255" i="19"/>
  <c r="AL284" i="19"/>
  <c r="C296" i="19"/>
  <c r="B120" i="19"/>
  <c r="B137" i="19"/>
  <c r="B169" i="19"/>
  <c r="B249" i="19"/>
  <c r="AL272" i="19"/>
  <c r="AL288" i="19"/>
  <c r="C147" i="19"/>
  <c r="B155" i="19"/>
  <c r="B252" i="19"/>
  <c r="AL276" i="19"/>
  <c r="B308" i="19"/>
  <c r="AL328" i="19"/>
  <c r="C346" i="19"/>
  <c r="C349" i="19"/>
  <c r="C390" i="19"/>
  <c r="C398" i="19"/>
  <c r="B338" i="19"/>
  <c r="B358" i="19"/>
  <c r="AL407" i="19"/>
  <c r="B299" i="19"/>
  <c r="B332" i="19"/>
  <c r="B404" i="19"/>
  <c r="F50" i="2"/>
  <c r="E88" i="2"/>
  <c r="E116" i="2"/>
  <c r="E32" i="2"/>
  <c r="E62" i="2"/>
  <c r="E72" i="2"/>
  <c r="E84" i="2"/>
  <c r="E107" i="2"/>
  <c r="E122" i="2"/>
  <c r="E17" i="2"/>
  <c r="E136" i="2"/>
  <c r="C5" i="3"/>
  <c r="E156" i="2"/>
  <c r="F217" i="2"/>
  <c r="D5" i="4"/>
  <c r="E179" i="2"/>
  <c r="E168" i="2"/>
  <c r="F204" i="2"/>
  <c r="F226" i="2"/>
  <c r="C5" i="5"/>
  <c r="D33" i="4"/>
  <c r="C33" i="5"/>
  <c r="C6" i="6"/>
  <c r="B12" i="7"/>
  <c r="C29" i="7"/>
  <c r="C94" i="7"/>
  <c r="B79" i="7"/>
  <c r="B102" i="7"/>
  <c r="C21" i="7"/>
  <c r="C62" i="7"/>
  <c r="C7" i="7"/>
  <c r="B46" i="7"/>
  <c r="C166" i="7"/>
  <c r="C186" i="7"/>
  <c r="C14" i="8"/>
  <c r="C51" i="8"/>
  <c r="C113" i="7"/>
  <c r="B151" i="7"/>
  <c r="C134" i="7"/>
  <c r="C5" i="8"/>
  <c r="C34" i="8"/>
  <c r="C53" i="9"/>
  <c r="C107" i="8"/>
  <c r="C6" i="9"/>
  <c r="C15" i="9"/>
  <c r="C46" i="9"/>
  <c r="C7" i="10"/>
  <c r="C22" i="10"/>
  <c r="C39" i="10"/>
  <c r="C71" i="9"/>
  <c r="D7" i="12"/>
  <c r="D25" i="13"/>
  <c r="C9" i="17"/>
  <c r="C21" i="11"/>
  <c r="D19" i="12"/>
  <c r="D39" i="12"/>
  <c r="D48" i="12"/>
  <c r="D5" i="14"/>
  <c r="C76" i="17"/>
  <c r="C7" i="11"/>
  <c r="D7" i="13"/>
  <c r="D4" i="17"/>
  <c r="C23" i="17"/>
  <c r="C104" i="17"/>
  <c r="D123" i="17"/>
  <c r="D151" i="17"/>
  <c r="C183" i="17"/>
  <c r="C190" i="17"/>
  <c r="C195" i="17"/>
  <c r="C202" i="17"/>
  <c r="C207" i="17"/>
  <c r="C214" i="17"/>
  <c r="C219" i="17"/>
  <c r="C226" i="17"/>
  <c r="C231" i="17"/>
  <c r="C238" i="17"/>
  <c r="C243" i="17"/>
  <c r="D250" i="17"/>
  <c r="D252" i="17"/>
  <c r="D262" i="17"/>
  <c r="C18" i="19"/>
  <c r="C90" i="17"/>
  <c r="C165" i="17"/>
  <c r="C186" i="17"/>
  <c r="C198" i="17"/>
  <c r="C210" i="17"/>
  <c r="C222" i="17"/>
  <c r="C234" i="17"/>
  <c r="D249" i="17"/>
  <c r="D261" i="17"/>
  <c r="D137" i="17"/>
  <c r="D170" i="17"/>
  <c r="C189" i="17"/>
  <c r="C196" i="17"/>
  <c r="C201" i="17"/>
  <c r="C208" i="17"/>
  <c r="C213" i="17"/>
  <c r="C220" i="17"/>
  <c r="C225" i="17"/>
  <c r="C232" i="17"/>
  <c r="C237" i="17"/>
  <c r="C244" i="17"/>
  <c r="D246" i="17"/>
  <c r="D256" i="17"/>
  <c r="D258" i="17"/>
  <c r="C118" i="17"/>
  <c r="C156" i="17"/>
  <c r="D162" i="17"/>
  <c r="C175" i="17"/>
  <c r="C180" i="17"/>
  <c r="C192" i="17"/>
  <c r="C204" i="17"/>
  <c r="C216" i="17"/>
  <c r="C228" i="17"/>
  <c r="C240" i="17"/>
  <c r="D255" i="17"/>
  <c r="C4" i="19"/>
  <c r="C60" i="19"/>
  <c r="D142" i="19"/>
  <c r="D147" i="19"/>
  <c r="C155" i="19"/>
  <c r="C252" i="19"/>
  <c r="C258" i="19"/>
  <c r="AM276" i="19"/>
  <c r="C308" i="19"/>
  <c r="C332" i="19"/>
  <c r="D341" i="19"/>
  <c r="D346" i="19"/>
  <c r="AM407" i="19"/>
  <c r="C32" i="19"/>
  <c r="C65" i="19"/>
  <c r="D246" i="19"/>
  <c r="D302" i="19"/>
  <c r="D325" i="19"/>
  <c r="C46" i="19"/>
  <c r="C70" i="19"/>
  <c r="C193" i="19"/>
  <c r="C237" i="19"/>
  <c r="D243" i="19"/>
  <c r="D255" i="19"/>
  <c r="AM284" i="19"/>
  <c r="C120" i="19"/>
  <c r="C137" i="19"/>
  <c r="C169" i="19"/>
  <c r="C179" i="19"/>
  <c r="C249" i="19"/>
  <c r="AM272" i="19"/>
  <c r="AM288" i="19"/>
  <c r="C299" i="19"/>
  <c r="C352" i="19"/>
  <c r="C355" i="19"/>
  <c r="D366" i="19"/>
  <c r="D401" i="19"/>
  <c r="C404" i="19"/>
  <c r="C415" i="19"/>
  <c r="AM328" i="19"/>
  <c r="D349" i="19"/>
  <c r="D378" i="19"/>
  <c r="D390" i="19"/>
  <c r="D395" i="19"/>
  <c r="D398" i="19"/>
  <c r="D296" i="19"/>
  <c r="C335" i="19"/>
  <c r="C338" i="19"/>
  <c r="C358" i="19"/>
  <c r="D375" i="19"/>
  <c r="B361" i="19"/>
  <c r="C141" i="17"/>
  <c r="C147" i="17"/>
  <c r="E141" i="17"/>
  <c r="E147" i="17"/>
  <c r="B160" i="17"/>
  <c r="F141" i="17"/>
  <c r="F146" i="17" s="1"/>
  <c r="F148" i="17"/>
  <c r="F154" i="17"/>
  <c r="H148" i="17"/>
  <c r="D18" i="2"/>
  <c r="F17" i="22" s="1"/>
  <c r="B28" i="19"/>
  <c r="B22" i="19"/>
  <c r="B30" i="19" s="1"/>
  <c r="M289" i="19"/>
  <c r="M290" i="19"/>
  <c r="AC289" i="19"/>
  <c r="AC290" i="19" s="1"/>
  <c r="B157" i="19"/>
  <c r="AR20" i="22"/>
  <c r="C188" i="19"/>
  <c r="B145" i="17"/>
  <c r="B149" i="17" s="1"/>
  <c r="F17" i="2"/>
  <c r="F156" i="2"/>
  <c r="G50" i="2"/>
  <c r="F88" i="2"/>
  <c r="F116" i="2"/>
  <c r="F136" i="2"/>
  <c r="F32" i="2"/>
  <c r="F62" i="2"/>
  <c r="F72" i="2"/>
  <c r="F84" i="2"/>
  <c r="F168" i="2"/>
  <c r="G204" i="2"/>
  <c r="G226" i="2"/>
  <c r="F107" i="2"/>
  <c r="D5" i="3"/>
  <c r="F122" i="2"/>
  <c r="G217" i="2"/>
  <c r="E5" i="4"/>
  <c r="F179" i="2"/>
  <c r="E33" i="4"/>
  <c r="D33" i="5"/>
  <c r="D6" i="6"/>
  <c r="D5" i="5"/>
  <c r="D7" i="7"/>
  <c r="C46" i="7"/>
  <c r="C12" i="7"/>
  <c r="D29" i="7"/>
  <c r="D94" i="7"/>
  <c r="C79" i="7"/>
  <c r="D21" i="7"/>
  <c r="D62" i="7"/>
  <c r="C102" i="7"/>
  <c r="D166" i="7"/>
  <c r="D186" i="7"/>
  <c r="D14" i="8"/>
  <c r="D51" i="8"/>
  <c r="D113" i="7"/>
  <c r="C151" i="7"/>
  <c r="D134" i="7"/>
  <c r="D5" i="8"/>
  <c r="D34" i="8"/>
  <c r="D15" i="9"/>
  <c r="D46" i="9"/>
  <c r="D53" i="9"/>
  <c r="D107" i="8"/>
  <c r="D6" i="9"/>
  <c r="D71" i="9"/>
  <c r="D21" i="11"/>
  <c r="D7" i="10"/>
  <c r="D22" i="10"/>
  <c r="D39" i="10"/>
  <c r="D7" i="11"/>
  <c r="E7" i="13"/>
  <c r="E4" i="17"/>
  <c r="D23" i="17"/>
  <c r="E7" i="12"/>
  <c r="E25" i="13"/>
  <c r="D9" i="17"/>
  <c r="D90" i="17"/>
  <c r="E19" i="12"/>
  <c r="E39" i="12"/>
  <c r="E48" i="12"/>
  <c r="E5" i="14"/>
  <c r="D118" i="17"/>
  <c r="D156" i="17"/>
  <c r="E162" i="17"/>
  <c r="D175" i="17"/>
  <c r="D180" i="17"/>
  <c r="D192" i="17"/>
  <c r="D204" i="17"/>
  <c r="D216" i="17"/>
  <c r="D228" i="17"/>
  <c r="D240" i="17"/>
  <c r="E255" i="17"/>
  <c r="D32" i="19"/>
  <c r="D104" i="17"/>
  <c r="E123" i="17"/>
  <c r="E151" i="17"/>
  <c r="D183" i="17"/>
  <c r="D190" i="17"/>
  <c r="D195" i="17"/>
  <c r="D202" i="17"/>
  <c r="D207" i="17"/>
  <c r="D214" i="17"/>
  <c r="D219" i="17"/>
  <c r="D226" i="17"/>
  <c r="D231" i="17"/>
  <c r="D238" i="17"/>
  <c r="D243" i="17"/>
  <c r="E250" i="17"/>
  <c r="E252" i="17"/>
  <c r="E262" i="17"/>
  <c r="D76" i="17"/>
  <c r="D165" i="17"/>
  <c r="D186" i="17"/>
  <c r="D198" i="17"/>
  <c r="D210" i="17"/>
  <c r="D222" i="17"/>
  <c r="D234" i="17"/>
  <c r="E249" i="17"/>
  <c r="E261" i="17"/>
  <c r="E137" i="17"/>
  <c r="E170" i="17"/>
  <c r="D189" i="17"/>
  <c r="D196" i="17"/>
  <c r="D201" i="17"/>
  <c r="D208" i="17"/>
  <c r="D213" i="17"/>
  <c r="D220" i="17"/>
  <c r="D225" i="17"/>
  <c r="D232" i="17"/>
  <c r="D237" i="17"/>
  <c r="D244" i="17"/>
  <c r="E246" i="17"/>
  <c r="E256" i="17"/>
  <c r="E258" i="17"/>
  <c r="D120" i="19"/>
  <c r="D137" i="19"/>
  <c r="D169" i="19"/>
  <c r="D179" i="19"/>
  <c r="D249" i="19"/>
  <c r="AN272" i="19"/>
  <c r="AN288" i="19"/>
  <c r="D299" i="19"/>
  <c r="AN328" i="19"/>
  <c r="E349" i="19"/>
  <c r="D358" i="19"/>
  <c r="C361" i="19"/>
  <c r="E390" i="19"/>
  <c r="E395" i="19"/>
  <c r="D404" i="19"/>
  <c r="D4" i="19"/>
  <c r="D60" i="19"/>
  <c r="E142" i="19"/>
  <c r="E147" i="19"/>
  <c r="D155" i="19"/>
  <c r="D252" i="19"/>
  <c r="D258" i="19"/>
  <c r="AN276" i="19"/>
  <c r="D308" i="19"/>
  <c r="D65" i="19"/>
  <c r="E246" i="19"/>
  <c r="D18" i="19"/>
  <c r="D46" i="19"/>
  <c r="D70" i="19"/>
  <c r="D193" i="19"/>
  <c r="D237" i="19"/>
  <c r="E243" i="19"/>
  <c r="E255" i="19"/>
  <c r="AN284" i="19"/>
  <c r="E296" i="19"/>
  <c r="D332" i="19"/>
  <c r="E341" i="19"/>
  <c r="E346" i="19"/>
  <c r="D352" i="19"/>
  <c r="D355" i="19"/>
  <c r="E366" i="19"/>
  <c r="E401" i="19"/>
  <c r="D415" i="19"/>
  <c r="E378" i="19"/>
  <c r="E398" i="19"/>
  <c r="AN407" i="19"/>
  <c r="E302" i="19"/>
  <c r="E325" i="19"/>
  <c r="D335" i="19"/>
  <c r="D338" i="19"/>
  <c r="E375" i="19"/>
  <c r="H6" i="5"/>
  <c r="C8" i="12"/>
  <c r="I8" i="12"/>
  <c r="C145" i="17"/>
  <c r="D154" i="17"/>
  <c r="E145" i="17"/>
  <c r="B41" i="19"/>
  <c r="B44" i="19"/>
  <c r="B66" i="7"/>
  <c r="B79" i="19" s="1"/>
  <c r="B7" i="19"/>
  <c r="B15" i="19" s="1"/>
  <c r="R17" i="22"/>
  <c r="G148" i="19"/>
  <c r="G144" i="2"/>
  <c r="D24" i="11"/>
  <c r="AH26" i="22"/>
  <c r="H147" i="17"/>
  <c r="H141" i="17"/>
  <c r="Q289" i="19"/>
  <c r="Q290" i="19" s="1"/>
  <c r="AG289" i="19"/>
  <c r="AG290" i="19" s="1"/>
  <c r="G148" i="17"/>
  <c r="B29" i="10"/>
  <c r="B161" i="19"/>
  <c r="B163" i="19"/>
  <c r="D21" i="22"/>
  <c r="B148" i="17"/>
  <c r="G32" i="2"/>
  <c r="G62" i="2"/>
  <c r="G72" i="2"/>
  <c r="G84" i="2"/>
  <c r="G107" i="2"/>
  <c r="G122" i="2"/>
  <c r="G17" i="2"/>
  <c r="H50" i="2"/>
  <c r="G88" i="2"/>
  <c r="G179" i="2"/>
  <c r="G136" i="2"/>
  <c r="G168" i="2"/>
  <c r="H204" i="2"/>
  <c r="H226" i="2"/>
  <c r="G116" i="2"/>
  <c r="G156" i="2"/>
  <c r="E5" i="3"/>
  <c r="H217" i="2"/>
  <c r="F5" i="4"/>
  <c r="F33" i="4"/>
  <c r="E33" i="5"/>
  <c r="E6" i="6"/>
  <c r="E5" i="5"/>
  <c r="E21" i="7"/>
  <c r="E62" i="7"/>
  <c r="E113" i="7"/>
  <c r="E7" i="7"/>
  <c r="D46" i="7"/>
  <c r="D12" i="7"/>
  <c r="E29" i="7"/>
  <c r="D79" i="7"/>
  <c r="E134" i="7"/>
  <c r="E5" i="8"/>
  <c r="E34" i="8"/>
  <c r="E94" i="7"/>
  <c r="D102" i="7"/>
  <c r="E166" i="7"/>
  <c r="E186" i="7"/>
  <c r="E14" i="8"/>
  <c r="D151" i="7"/>
  <c r="E71" i="9"/>
  <c r="E15" i="9"/>
  <c r="E46" i="9"/>
  <c r="E51" i="8"/>
  <c r="E53" i="9"/>
  <c r="E107" i="8"/>
  <c r="E6" i="9"/>
  <c r="E22" i="10"/>
  <c r="E39" i="10"/>
  <c r="E7" i="11"/>
  <c r="F19" i="12"/>
  <c r="E7" i="10"/>
  <c r="F7" i="13"/>
  <c r="F4" i="17"/>
  <c r="E23" i="17"/>
  <c r="E21" i="11"/>
  <c r="F7" i="12"/>
  <c r="F25" i="13"/>
  <c r="E9" i="17"/>
  <c r="F39" i="12"/>
  <c r="F48" i="12"/>
  <c r="F5" i="14"/>
  <c r="E76" i="17"/>
  <c r="F137" i="17"/>
  <c r="F170" i="17"/>
  <c r="E189" i="17"/>
  <c r="E196" i="17"/>
  <c r="E201" i="17"/>
  <c r="E208" i="17"/>
  <c r="E213" i="17"/>
  <c r="E220" i="17"/>
  <c r="E225" i="17"/>
  <c r="E232" i="17"/>
  <c r="E237" i="17"/>
  <c r="E244" i="17"/>
  <c r="F246" i="17"/>
  <c r="F256" i="17"/>
  <c r="F258" i="17"/>
  <c r="E46" i="19"/>
  <c r="E118" i="17"/>
  <c r="E156" i="17"/>
  <c r="F162" i="17"/>
  <c r="E175" i="17"/>
  <c r="E180" i="17"/>
  <c r="E192" i="17"/>
  <c r="E204" i="17"/>
  <c r="E216" i="17"/>
  <c r="E228" i="17"/>
  <c r="E240" i="17"/>
  <c r="F255" i="17"/>
  <c r="E90" i="17"/>
  <c r="E104" i="17"/>
  <c r="F123" i="17"/>
  <c r="F151" i="17"/>
  <c r="E183" i="17"/>
  <c r="E190" i="17"/>
  <c r="E195" i="17"/>
  <c r="E202" i="17"/>
  <c r="E207" i="17"/>
  <c r="E214" i="17"/>
  <c r="E219" i="17"/>
  <c r="E226" i="17"/>
  <c r="E231" i="17"/>
  <c r="E238" i="17"/>
  <c r="E243" i="17"/>
  <c r="F250" i="17"/>
  <c r="F252" i="17"/>
  <c r="F262" i="17"/>
  <c r="E165" i="17"/>
  <c r="E186" i="17"/>
  <c r="E198" i="17"/>
  <c r="E210" i="17"/>
  <c r="E222" i="17"/>
  <c r="E234" i="17"/>
  <c r="F249" i="17"/>
  <c r="F261" i="17"/>
  <c r="E18" i="19"/>
  <c r="E70" i="19"/>
  <c r="E193" i="19"/>
  <c r="E237" i="19"/>
  <c r="F243" i="19"/>
  <c r="F255" i="19"/>
  <c r="AO284" i="19"/>
  <c r="F296" i="19"/>
  <c r="E338" i="19"/>
  <c r="E355" i="19"/>
  <c r="F375" i="19"/>
  <c r="F398" i="19"/>
  <c r="B410" i="19"/>
  <c r="E120" i="19"/>
  <c r="E137" i="19"/>
  <c r="E169" i="19"/>
  <c r="E179" i="19"/>
  <c r="E249" i="19"/>
  <c r="AO272" i="19"/>
  <c r="AO288" i="19"/>
  <c r="E299" i="19"/>
  <c r="E4" i="19"/>
  <c r="E32" i="19"/>
  <c r="E60" i="19"/>
  <c r="F142" i="19"/>
  <c r="F147" i="19"/>
  <c r="E155" i="19"/>
  <c r="E252" i="19"/>
  <c r="E258" i="19"/>
  <c r="AO276" i="19"/>
  <c r="E65" i="19"/>
  <c r="F246" i="19"/>
  <c r="F302" i="19"/>
  <c r="F325" i="19"/>
  <c r="E335" i="19"/>
  <c r="D361" i="19"/>
  <c r="E332" i="19"/>
  <c r="E404" i="19"/>
  <c r="E308" i="19"/>
  <c r="AO328" i="19"/>
  <c r="F341" i="19"/>
  <c r="F346" i="19"/>
  <c r="F349" i="19"/>
  <c r="E352" i="19"/>
  <c r="F366" i="19"/>
  <c r="F390" i="19"/>
  <c r="F395" i="19"/>
  <c r="F401" i="19"/>
  <c r="E415" i="19"/>
  <c r="E358" i="19"/>
  <c r="F378" i="19"/>
  <c r="AO407" i="19"/>
  <c r="B5" i="4"/>
  <c r="B33" i="4"/>
  <c r="B19" i="12"/>
  <c r="B7" i="13"/>
  <c r="B25" i="13"/>
  <c r="B7" i="12"/>
  <c r="B39" i="12"/>
  <c r="B48" i="12"/>
  <c r="B5" i="14"/>
  <c r="B12" i="19"/>
  <c r="C69" i="7"/>
  <c r="C10" i="19"/>
  <c r="C12" i="19" s="1"/>
  <c r="AF17" i="22"/>
  <c r="E289" i="19"/>
  <c r="E290" i="19" s="1"/>
  <c r="C71" i="7"/>
  <c r="C173" i="7"/>
  <c r="B33" i="10"/>
  <c r="B78" i="10"/>
  <c r="B9" i="10"/>
  <c r="B27" i="10"/>
  <c r="B78" i="17"/>
  <c r="B30" i="17"/>
  <c r="B34" i="17"/>
  <c r="B92" i="17"/>
  <c r="B106" i="17"/>
  <c r="F149" i="17"/>
  <c r="C174" i="7"/>
  <c r="C94" i="19"/>
  <c r="C96" i="19"/>
  <c r="C78" i="8" s="1"/>
  <c r="C95" i="19"/>
  <c r="C77" i="8"/>
  <c r="AI285" i="19"/>
  <c r="AI286" i="19" s="1"/>
  <c r="AI273" i="19"/>
  <c r="AI274" i="19" s="1"/>
  <c r="AI278" i="19"/>
  <c r="S273" i="19"/>
  <c r="S274" i="19"/>
  <c r="S278" i="19"/>
  <c r="C285" i="19"/>
  <c r="C286" i="19" s="1"/>
  <c r="C273" i="19"/>
  <c r="C274" i="19" s="1"/>
  <c r="C278" i="19"/>
  <c r="AH273" i="19"/>
  <c r="AH274" i="19"/>
  <c r="AH278" i="19"/>
  <c r="R285" i="19"/>
  <c r="R286" i="19" s="1"/>
  <c r="R273" i="19"/>
  <c r="R274" i="19" s="1"/>
  <c r="R278" i="19"/>
  <c r="B273" i="19"/>
  <c r="B274" i="19" s="1"/>
  <c r="B278" i="19"/>
  <c r="D146" i="17"/>
  <c r="D149" i="17"/>
  <c r="C66" i="7"/>
  <c r="C7" i="19"/>
  <c r="C15" i="19"/>
  <c r="T17" i="22"/>
  <c r="F19" i="2"/>
  <c r="H144" i="2"/>
  <c r="E24" i="11"/>
  <c r="AJ26" i="22"/>
  <c r="F71" i="10"/>
  <c r="F74" i="10"/>
  <c r="F75" i="10"/>
  <c r="B74" i="7"/>
  <c r="B170" i="7"/>
  <c r="B12" i="17"/>
  <c r="B20" i="17" s="1"/>
  <c r="B49" i="19"/>
  <c r="B78" i="19"/>
  <c r="B80" i="19"/>
  <c r="B65" i="7"/>
  <c r="B6" i="19"/>
  <c r="B14" i="19" s="1"/>
  <c r="E146" i="17"/>
  <c r="B61" i="10"/>
  <c r="B44" i="17"/>
  <c r="B52" i="17"/>
  <c r="B83" i="17"/>
  <c r="B48" i="17"/>
  <c r="B111" i="17"/>
  <c r="B97" i="17"/>
  <c r="AE273" i="19"/>
  <c r="AE274" i="19" s="1"/>
  <c r="AE278" i="19"/>
  <c r="O273" i="19"/>
  <c r="O274" i="19"/>
  <c r="O278" i="19"/>
  <c r="AD285" i="19"/>
  <c r="AD286" i="19" s="1"/>
  <c r="AD273" i="19"/>
  <c r="AD274" i="19" s="1"/>
  <c r="AD278" i="19"/>
  <c r="N285" i="19"/>
  <c r="N286" i="19" s="1"/>
  <c r="N273" i="19"/>
  <c r="N274" i="19" s="1"/>
  <c r="N278" i="19"/>
  <c r="AC278" i="19"/>
  <c r="AC285" i="19"/>
  <c r="AC286" i="19" s="1"/>
  <c r="M273" i="19"/>
  <c r="M274" i="19"/>
  <c r="M278" i="19"/>
  <c r="M285" i="19"/>
  <c r="M286" i="19" s="1"/>
  <c r="E58" i="12"/>
  <c r="AN278" i="19"/>
  <c r="X285" i="19"/>
  <c r="X286" i="19" s="1"/>
  <c r="X273" i="19"/>
  <c r="X274" i="19" s="1"/>
  <c r="X278" i="19"/>
  <c r="H285" i="19"/>
  <c r="H286" i="19"/>
  <c r="H273" i="19"/>
  <c r="H274" i="19" s="1"/>
  <c r="H278" i="19"/>
  <c r="B34" i="10"/>
  <c r="B79" i="10" s="1"/>
  <c r="B57" i="10"/>
  <c r="B31" i="17"/>
  <c r="B65" i="17"/>
  <c r="B27" i="17"/>
  <c r="B35" i="17"/>
  <c r="B69" i="17" s="1"/>
  <c r="B79" i="17"/>
  <c r="B87" i="17" s="1"/>
  <c r="B93" i="17"/>
  <c r="B101" i="17" s="1"/>
  <c r="B107" i="17"/>
  <c r="B31" i="10"/>
  <c r="B60" i="10"/>
  <c r="B47" i="17"/>
  <c r="B49" i="17"/>
  <c r="B80" i="9" s="1"/>
  <c r="B106" i="10" s="1"/>
  <c r="B51" i="17"/>
  <c r="B53" i="17" s="1"/>
  <c r="B81" i="9" s="1"/>
  <c r="B110" i="17"/>
  <c r="B96" i="17"/>
  <c r="B98" i="17"/>
  <c r="F58" i="12"/>
  <c r="AO278" i="19"/>
  <c r="Y273" i="19"/>
  <c r="Y274" i="19"/>
  <c r="Y278" i="19"/>
  <c r="Y285" i="19"/>
  <c r="Y286" i="19" s="1"/>
  <c r="I273" i="19"/>
  <c r="I274" i="19" s="1"/>
  <c r="I278" i="19"/>
  <c r="AJ273" i="19"/>
  <c r="AJ274" i="19"/>
  <c r="AJ278" i="19"/>
  <c r="T285" i="19"/>
  <c r="T286" i="19" s="1"/>
  <c r="T273" i="19"/>
  <c r="T274" i="19" s="1"/>
  <c r="T278" i="19"/>
  <c r="D286" i="19"/>
  <c r="D273" i="19"/>
  <c r="D274" i="19"/>
  <c r="D278" i="19"/>
  <c r="B146" i="17"/>
  <c r="H146" i="17"/>
  <c r="H149" i="17"/>
  <c r="B159" i="19"/>
  <c r="B165" i="19"/>
  <c r="B27" i="19"/>
  <c r="C146" i="17"/>
  <c r="C149" i="17"/>
  <c r="D58" i="12"/>
  <c r="W285" i="19"/>
  <c r="W286" i="19"/>
  <c r="W273" i="19"/>
  <c r="W274" i="19" s="1"/>
  <c r="W278" i="19"/>
  <c r="G285" i="19"/>
  <c r="G286" i="19" s="1"/>
  <c r="G273" i="19"/>
  <c r="G274" i="19" s="1"/>
  <c r="C58" i="12"/>
  <c r="AL278" i="19"/>
  <c r="V278" i="19"/>
  <c r="F274" i="19"/>
  <c r="F278" i="19"/>
  <c r="Z290" i="19"/>
  <c r="AK273" i="19"/>
  <c r="AK274" i="19" s="1"/>
  <c r="AK278" i="19"/>
  <c r="AK285" i="19"/>
  <c r="AK286" i="19" s="1"/>
  <c r="B376" i="19" s="1"/>
  <c r="B372" i="19" s="1"/>
  <c r="B12" i="4" s="1"/>
  <c r="U273" i="19"/>
  <c r="U274" i="19" s="1"/>
  <c r="U278" i="19"/>
  <c r="E273" i="19"/>
  <c r="E274" i="19" s="1"/>
  <c r="E278" i="19"/>
  <c r="E285" i="19"/>
  <c r="E286" i="19"/>
  <c r="AF285" i="19"/>
  <c r="AF286" i="19" s="1"/>
  <c r="AF273" i="19"/>
  <c r="AF274" i="19"/>
  <c r="AF278" i="19"/>
  <c r="P285" i="19"/>
  <c r="P286" i="19" s="1"/>
  <c r="P273" i="19"/>
  <c r="P274" i="19" s="1"/>
  <c r="P278" i="19"/>
  <c r="E54" i="12"/>
  <c r="E55" i="12" s="1"/>
  <c r="E41" i="12" s="1"/>
  <c r="D22" i="5" s="1"/>
  <c r="C62" i="12"/>
  <c r="C50" i="12" s="1"/>
  <c r="AL285" i="19" s="1"/>
  <c r="F54" i="12"/>
  <c r="D62" i="12"/>
  <c r="AM290" i="19" s="1"/>
  <c r="C54" i="12"/>
  <c r="AL330" i="19" s="1"/>
  <c r="G62" i="12"/>
  <c r="G54" i="12"/>
  <c r="D54" i="12"/>
  <c r="H62" i="12"/>
  <c r="F62" i="12"/>
  <c r="F50" i="12" s="1"/>
  <c r="F51" i="12" s="1"/>
  <c r="F40" i="12" s="1"/>
  <c r="E62" i="12"/>
  <c r="H54" i="12"/>
  <c r="AQ330" i="19" s="1"/>
  <c r="D69" i="7"/>
  <c r="D90" i="19" s="1"/>
  <c r="D10" i="19"/>
  <c r="AH17" i="22"/>
  <c r="G20" i="2"/>
  <c r="E69" i="7" s="1"/>
  <c r="AO285" i="19"/>
  <c r="AN329" i="19"/>
  <c r="AN330" i="19"/>
  <c r="B91" i="10"/>
  <c r="B8" i="19"/>
  <c r="B61" i="8"/>
  <c r="B82" i="7"/>
  <c r="B203" i="7"/>
  <c r="D63" i="12"/>
  <c r="AM289" i="19"/>
  <c r="F59" i="12"/>
  <c r="E19" i="3"/>
  <c r="AO273" i="19"/>
  <c r="AO274" i="19"/>
  <c r="B87" i="10"/>
  <c r="B65" i="10"/>
  <c r="B73" i="7"/>
  <c r="B67" i="7"/>
  <c r="B169" i="7"/>
  <c r="B115" i="7"/>
  <c r="B11" i="17"/>
  <c r="B48" i="19"/>
  <c r="B74" i="19"/>
  <c r="B75" i="19"/>
  <c r="B57" i="8" s="1"/>
  <c r="B32" i="7"/>
  <c r="B73" i="19"/>
  <c r="B178" i="7"/>
  <c r="I144" i="2"/>
  <c r="F24" i="11"/>
  <c r="AL26" i="22"/>
  <c r="B108" i="17"/>
  <c r="B114" i="17"/>
  <c r="B64" i="17"/>
  <c r="B32" i="17"/>
  <c r="B72" i="10"/>
  <c r="B416" i="19"/>
  <c r="C175" i="7"/>
  <c r="D173" i="7"/>
  <c r="D15" i="17"/>
  <c r="H55" i="12"/>
  <c r="H41" i="12" s="1"/>
  <c r="G22" i="5" s="1"/>
  <c r="AQ329" i="19"/>
  <c r="D55" i="12"/>
  <c r="AM329" i="19"/>
  <c r="AM330" i="19"/>
  <c r="B40" i="12"/>
  <c r="C51" i="12"/>
  <c r="AL286" i="19"/>
  <c r="E10" i="19"/>
  <c r="AJ17" i="22"/>
  <c r="E63" i="12"/>
  <c r="AN289" i="19"/>
  <c r="AN290" i="19"/>
  <c r="AP329" i="19"/>
  <c r="F55" i="12"/>
  <c r="F41" i="12" s="1"/>
  <c r="AO329" i="19"/>
  <c r="AO330" i="19"/>
  <c r="C59" i="12"/>
  <c r="AL274" i="19"/>
  <c r="AL273" i="19"/>
  <c r="B90" i="10"/>
  <c r="B62" i="10"/>
  <c r="E59" i="12"/>
  <c r="D19" i="3" s="1"/>
  <c r="AN274" i="19"/>
  <c r="AN273" i="19"/>
  <c r="B60" i="8"/>
  <c r="B81" i="19"/>
  <c r="C74" i="7"/>
  <c r="C82" i="7" s="1"/>
  <c r="C170" i="7"/>
  <c r="C178" i="7" s="1"/>
  <c r="C12" i="17"/>
  <c r="C20" i="17"/>
  <c r="C49" i="19"/>
  <c r="C80" i="19"/>
  <c r="C78" i="19"/>
  <c r="C79" i="19"/>
  <c r="C76" i="8"/>
  <c r="C79" i="8" s="1"/>
  <c r="C97" i="19"/>
  <c r="B94" i="17"/>
  <c r="B100" i="17"/>
  <c r="B80" i="17"/>
  <c r="F63" i="12"/>
  <c r="AO289" i="19"/>
  <c r="AO290" i="19"/>
  <c r="G63" i="12"/>
  <c r="AP289" i="19"/>
  <c r="C63" i="12"/>
  <c r="AL290" i="19"/>
  <c r="AL289" i="19"/>
  <c r="D59" i="12"/>
  <c r="C19" i="3" s="1"/>
  <c r="AM274" i="19"/>
  <c r="AM273" i="19"/>
  <c r="B164" i="19"/>
  <c r="B167" i="19"/>
  <c r="B39" i="17"/>
  <c r="B61" i="17"/>
  <c r="E50" i="12"/>
  <c r="AN285" i="19" s="1"/>
  <c r="B56" i="17"/>
  <c r="B62" i="8"/>
  <c r="B57" i="19"/>
  <c r="B217" i="7" s="1"/>
  <c r="D66" i="7"/>
  <c r="D7" i="19"/>
  <c r="V17" i="22"/>
  <c r="G19" i="2"/>
  <c r="E66" i="7" s="1"/>
  <c r="B36" i="17"/>
  <c r="B68" i="17"/>
  <c r="B32" i="10"/>
  <c r="B35" i="10"/>
  <c r="C200" i="7"/>
  <c r="B55" i="9"/>
  <c r="C62" i="8"/>
  <c r="C94" i="8" s="1"/>
  <c r="C112" i="19"/>
  <c r="C203" i="7"/>
  <c r="G24" i="11"/>
  <c r="AN26" i="22"/>
  <c r="B95" i="10"/>
  <c r="F42" i="12"/>
  <c r="E326" i="19"/>
  <c r="C61" i="8"/>
  <c r="C93" i="8" s="1"/>
  <c r="C111" i="19"/>
  <c r="B92" i="10"/>
  <c r="B19" i="3"/>
  <c r="A5" i="21"/>
  <c r="B56" i="8"/>
  <c r="B84" i="19"/>
  <c r="B171" i="7"/>
  <c r="B81" i="7"/>
  <c r="B202" i="7"/>
  <c r="X17" i="22"/>
  <c r="H19" i="2"/>
  <c r="B76" i="9"/>
  <c r="E51" i="12"/>
  <c r="E40" i="12" s="1"/>
  <c r="AN286" i="19"/>
  <c r="B102" i="17"/>
  <c r="B99" i="17"/>
  <c r="E173" i="7"/>
  <c r="E15" i="17"/>
  <c r="E90" i="19"/>
  <c r="E91" i="19"/>
  <c r="E89" i="19"/>
  <c r="H24" i="11"/>
  <c r="B55" i="8"/>
  <c r="B83" i="19"/>
  <c r="B76" i="19"/>
  <c r="B50" i="19"/>
  <c r="B16" i="19"/>
  <c r="B13" i="19"/>
  <c r="B47" i="10"/>
  <c r="F12" i="4"/>
  <c r="F376" i="19"/>
  <c r="D170" i="7"/>
  <c r="D12" i="17"/>
  <c r="D78" i="19"/>
  <c r="D80" i="19"/>
  <c r="D62" i="8" s="1"/>
  <c r="D79" i="19"/>
  <c r="D61" i="8" s="1"/>
  <c r="B73" i="17"/>
  <c r="C60" i="8"/>
  <c r="C81" i="19"/>
  <c r="C113" i="19" s="1"/>
  <c r="C110" i="19"/>
  <c r="B63" i="8"/>
  <c r="B64" i="8" s="1"/>
  <c r="A52" i="18" s="1"/>
  <c r="D13" i="5"/>
  <c r="E42" i="12"/>
  <c r="B46" i="10"/>
  <c r="C40" i="12"/>
  <c r="B75" i="9"/>
  <c r="B66" i="17"/>
  <c r="B137" i="7"/>
  <c r="B260" i="19"/>
  <c r="C125" i="17"/>
  <c r="B13" i="17"/>
  <c r="B109" i="8" s="1"/>
  <c r="B196" i="7"/>
  <c r="B43" i="10"/>
  <c r="B51" i="10" s="1"/>
  <c r="B65" i="8"/>
  <c r="B58" i="8"/>
  <c r="E170" i="7"/>
  <c r="E79" i="19"/>
  <c r="E61" i="8" s="1"/>
  <c r="B117" i="8"/>
  <c r="B312" i="19" s="1"/>
  <c r="B85" i="9"/>
  <c r="B101" i="10"/>
  <c r="E71" i="8"/>
  <c r="E92" i="19"/>
  <c r="E12" i="4"/>
  <c r="E376" i="19"/>
  <c r="F66" i="7"/>
  <c r="F7" i="19"/>
  <c r="Z17" i="22"/>
  <c r="I19" i="2"/>
  <c r="B66" i="8"/>
  <c r="B22" i="9"/>
  <c r="C12" i="4"/>
  <c r="C376" i="19"/>
  <c r="D60" i="8"/>
  <c r="D81" i="19"/>
  <c r="F372" i="19"/>
  <c r="E5" i="21"/>
  <c r="B86" i="19"/>
  <c r="B82" i="19"/>
  <c r="E73" i="8"/>
  <c r="B67" i="8"/>
  <c r="B48" i="10"/>
  <c r="B15" i="10"/>
  <c r="C63" i="8"/>
  <c r="C95" i="8"/>
  <c r="C92" i="8"/>
  <c r="B210" i="7"/>
  <c r="E72" i="8"/>
  <c r="E74" i="8" s="1"/>
  <c r="B102" i="10"/>
  <c r="B13" i="5"/>
  <c r="C42" i="12"/>
  <c r="E372" i="19"/>
  <c r="D5" i="21"/>
  <c r="B68" i="8"/>
  <c r="C372" i="19"/>
  <c r="B5" i="21"/>
  <c r="F12" i="17"/>
  <c r="F80" i="19"/>
  <c r="B26" i="9"/>
  <c r="D63" i="8"/>
  <c r="G66" i="7"/>
  <c r="H195" i="7" s="1"/>
  <c r="G7" i="19"/>
  <c r="AB17" i="22"/>
  <c r="B111" i="10"/>
  <c r="F62" i="8"/>
  <c r="H66" i="7" l="1"/>
  <c r="F170" i="7"/>
  <c r="H170" i="7" s="1"/>
  <c r="F79" i="19"/>
  <c r="F61" i="8" s="1"/>
  <c r="E80" i="19"/>
  <c r="E62" i="8" s="1"/>
  <c r="E12" i="17"/>
  <c r="F326" i="19"/>
  <c r="E22" i="5"/>
  <c r="B107" i="10"/>
  <c r="B112" i="10" s="1"/>
  <c r="B86" i="9"/>
  <c r="G12" i="17"/>
  <c r="G79" i="19"/>
  <c r="G61" i="8" s="1"/>
  <c r="H61" i="8" s="1"/>
  <c r="G80" i="19"/>
  <c r="G62" i="8" s="1"/>
  <c r="B115" i="8"/>
  <c r="B116" i="8"/>
  <c r="B311" i="19" s="1"/>
  <c r="C25" i="12"/>
  <c r="C24" i="12" s="1"/>
  <c r="C143" i="19" s="1"/>
  <c r="C13" i="5"/>
  <c r="D42" i="12"/>
  <c r="G170" i="7"/>
  <c r="C55" i="12"/>
  <c r="C41" i="12" s="1"/>
  <c r="E149" i="17"/>
  <c r="E13" i="5"/>
  <c r="H63" i="12"/>
  <c r="I63" i="12" s="1"/>
  <c r="AQ290" i="19"/>
  <c r="AJ285" i="19"/>
  <c r="AJ286" i="19" s="1"/>
  <c r="AJ290" i="19"/>
  <c r="B56" i="10"/>
  <c r="B26" i="17"/>
  <c r="E7" i="19"/>
  <c r="D91" i="19"/>
  <c r="D73" i="8" s="1"/>
  <c r="AL329" i="19"/>
  <c r="B115" i="17"/>
  <c r="F70" i="10"/>
  <c r="H148" i="19"/>
  <c r="H326" i="19"/>
  <c r="B70" i="17"/>
  <c r="I62" i="12"/>
  <c r="B112" i="17"/>
  <c r="C116" i="7"/>
  <c r="C89" i="19"/>
  <c r="B10" i="10"/>
  <c r="B43" i="17"/>
  <c r="B82" i="17"/>
  <c r="B166" i="19"/>
  <c r="D148" i="17"/>
  <c r="E148" i="17"/>
  <c r="G415" i="19"/>
  <c r="H401" i="19"/>
  <c r="B23" i="12"/>
  <c r="B31" i="12"/>
  <c r="D290" i="19"/>
  <c r="U289" i="19"/>
  <c r="B391" i="19"/>
  <c r="C396" i="19"/>
  <c r="B306" i="19"/>
  <c r="B380" i="19" s="1"/>
  <c r="AQ328" i="19"/>
  <c r="G358" i="19"/>
  <c r="G404" i="19"/>
  <c r="J50" i="2"/>
  <c r="I62" i="2"/>
  <c r="I122" i="2"/>
  <c r="J217" i="2"/>
  <c r="I168" i="2"/>
  <c r="H33" i="4"/>
  <c r="G29" i="7"/>
  <c r="G7" i="7"/>
  <c r="G166" i="7"/>
  <c r="F151" i="7"/>
  <c r="H296" i="19"/>
  <c r="G335" i="19"/>
  <c r="F361" i="19"/>
  <c r="H390" i="19"/>
  <c r="D410" i="19"/>
  <c r="I32" i="2"/>
  <c r="I107" i="2"/>
  <c r="G5" i="3"/>
  <c r="I179" i="2"/>
  <c r="G5" i="5"/>
  <c r="F12" i="7"/>
  <c r="F102" i="7"/>
  <c r="F46" i="7"/>
  <c r="G51" i="8"/>
  <c r="G113" i="7"/>
  <c r="H15" i="5"/>
  <c r="H398" i="19"/>
  <c r="H395" i="19"/>
  <c r="A11" i="21"/>
  <c r="B387" i="19"/>
  <c r="A13" i="21" s="1"/>
  <c r="H378" i="19"/>
  <c r="I54" i="12"/>
  <c r="B285" i="19"/>
  <c r="B286" i="19" s="1"/>
  <c r="S285" i="19"/>
  <c r="S286" i="19" s="1"/>
  <c r="B355" i="19"/>
  <c r="C375" i="19"/>
  <c r="C395" i="19"/>
  <c r="C341" i="19"/>
  <c r="B258" i="19"/>
  <c r="C142" i="19"/>
  <c r="B179" i="19"/>
  <c r="B18" i="19"/>
  <c r="C243" i="19"/>
  <c r="B415" i="19"/>
  <c r="B352" i="19"/>
  <c r="C246" i="19"/>
  <c r="C250" i="17"/>
  <c r="B226" i="17"/>
  <c r="B202" i="17"/>
  <c r="C151" i="17"/>
  <c r="B240" i="17"/>
  <c r="B192" i="17"/>
  <c r="B156" i="17"/>
  <c r="C246" i="17"/>
  <c r="B225" i="17"/>
  <c r="B201" i="17"/>
  <c r="C137" i="17"/>
  <c r="B4" i="19"/>
  <c r="B222" i="17"/>
  <c r="B165" i="17"/>
  <c r="B23" i="17"/>
  <c r="C5" i="14"/>
  <c r="B21" i="11"/>
  <c r="B22" i="10"/>
  <c r="B15" i="9"/>
  <c r="B51" i="8"/>
  <c r="B34" i="8"/>
  <c r="B29" i="7"/>
  <c r="B6" i="6"/>
  <c r="B5" i="5"/>
  <c r="D168" i="2"/>
  <c r="D156" i="2"/>
  <c r="D84" i="2"/>
  <c r="I289" i="19"/>
  <c r="AE329" i="19"/>
  <c r="AQ277" i="19"/>
  <c r="AA277" i="19"/>
  <c r="K277" i="19"/>
  <c r="AE289" i="19"/>
  <c r="AE285" i="19" s="1"/>
  <c r="AE286" i="19" s="1"/>
  <c r="O289" i="19"/>
  <c r="AP277" i="19"/>
  <c r="Z277" i="19"/>
  <c r="J277" i="19"/>
  <c r="AH289" i="19"/>
  <c r="V289" i="19"/>
  <c r="F289" i="19"/>
  <c r="AG277" i="19"/>
  <c r="Q277" i="19"/>
  <c r="AK329" i="19"/>
  <c r="AK330" i="19" s="1"/>
  <c r="B326" i="19" s="1"/>
  <c r="B41" i="12" s="1"/>
  <c r="U329" i="19"/>
  <c r="U330" i="19" s="1"/>
  <c r="E329" i="19"/>
  <c r="E330" i="19" s="1"/>
  <c r="AB277" i="19"/>
  <c r="L277" i="19"/>
  <c r="G145" i="17"/>
  <c r="A2" i="21"/>
  <c r="B9" i="4"/>
  <c r="H366" i="19"/>
  <c r="G355" i="19"/>
  <c r="G338" i="19"/>
  <c r="F404" i="19"/>
  <c r="F358" i="19"/>
  <c r="G346" i="19"/>
  <c r="AP328" i="19"/>
  <c r="G325" i="19"/>
  <c r="G302" i="19"/>
  <c r="G243" i="19"/>
  <c r="D187" i="19"/>
  <c r="E183" i="19"/>
  <c r="D130" i="19"/>
  <c r="B125" i="19"/>
  <c r="G24" i="19"/>
  <c r="H125" i="2"/>
  <c r="E197" i="19"/>
  <c r="D241" i="19"/>
  <c r="C198" i="19"/>
  <c r="D177" i="19"/>
  <c r="B96" i="19"/>
  <c r="I139" i="2"/>
  <c r="F16" i="11"/>
  <c r="J52" i="2"/>
  <c r="F139" i="19"/>
  <c r="F127" i="19" s="1"/>
  <c r="F130" i="19" s="1"/>
  <c r="F18" i="19"/>
  <c r="F46" i="19"/>
  <c r="G142" i="19"/>
  <c r="G147" i="19"/>
  <c r="F155" i="19"/>
  <c r="G246" i="19"/>
  <c r="AP272" i="19"/>
  <c r="G124" i="2"/>
  <c r="D196" i="19"/>
  <c r="D198" i="19" s="1"/>
  <c r="A12" i="21"/>
  <c r="F415" i="19"/>
  <c r="AP407" i="19"/>
  <c r="G401" i="19"/>
  <c r="G395" i="19"/>
  <c r="G378" i="19"/>
  <c r="G366" i="19"/>
  <c r="F355" i="19"/>
  <c r="G341" i="19"/>
  <c r="F332" i="19"/>
  <c r="AJ288" i="19"/>
  <c r="AP284" i="19"/>
  <c r="F252" i="19"/>
  <c r="F249" i="19"/>
  <c r="C241" i="19"/>
  <c r="F241" i="19"/>
  <c r="B241" i="19"/>
  <c r="F203" i="19"/>
  <c r="B203" i="19"/>
  <c r="E203" i="19"/>
  <c r="B198" i="19"/>
  <c r="F190" i="19"/>
  <c r="F183" i="19"/>
  <c r="B183" i="19"/>
  <c r="D175" i="19"/>
  <c r="E130" i="19"/>
  <c r="C125" i="19"/>
  <c r="F32" i="19"/>
  <c r="G47" i="18"/>
  <c r="H138" i="2"/>
  <c r="E15" i="11"/>
  <c r="H91" i="2"/>
  <c r="E185" i="19"/>
  <c r="E187" i="19" s="1"/>
  <c r="I51" i="2"/>
  <c r="E138" i="19"/>
  <c r="E122" i="19" s="1"/>
  <c r="G26" i="2"/>
  <c r="D39" i="19"/>
  <c r="D43" i="19" s="1"/>
  <c r="I13" i="14"/>
  <c r="E37" i="9"/>
  <c r="H37" i="9" s="1"/>
  <c r="H29" i="9"/>
  <c r="H10" i="5"/>
  <c r="F24" i="3"/>
  <c r="B24" i="3"/>
  <c r="H24" i="3" s="1"/>
  <c r="F218" i="2"/>
  <c r="C22" i="4"/>
  <c r="F39" i="2"/>
  <c r="C213" i="7"/>
  <c r="F38" i="2"/>
  <c r="C212" i="7"/>
  <c r="E37" i="2"/>
  <c r="B209" i="7"/>
  <c r="E241" i="19"/>
  <c r="B235" i="19"/>
  <c r="B94" i="19"/>
  <c r="B110" i="19" s="1"/>
  <c r="G11" i="18"/>
  <c r="I11" i="14"/>
  <c r="H14" i="11"/>
  <c r="H82" i="10"/>
  <c r="B109" i="9"/>
  <c r="C63" i="9"/>
  <c r="F110" i="2"/>
  <c r="C188" i="7"/>
  <c r="C194" i="7" s="1"/>
  <c r="F33" i="2"/>
  <c r="H28" i="9"/>
  <c r="D65" i="9"/>
  <c r="G111" i="2"/>
  <c r="H36" i="2"/>
  <c r="E208" i="7"/>
  <c r="E34" i="2"/>
  <c r="B189" i="7"/>
  <c r="B199" i="7" s="1"/>
  <c r="H11" i="11"/>
  <c r="H21" i="9"/>
  <c r="F37" i="9"/>
  <c r="E36" i="9"/>
  <c r="H36" i="9" s="1"/>
  <c r="G109" i="2"/>
  <c r="D61" i="9"/>
  <c r="F108" i="2"/>
  <c r="C59" i="9"/>
  <c r="H24" i="5"/>
  <c r="H20" i="9"/>
  <c r="B194" i="7"/>
  <c r="H16" i="5"/>
  <c r="C24" i="4"/>
  <c r="B13" i="21" s="1"/>
  <c r="D41" i="12"/>
  <c r="D72" i="8"/>
  <c r="B85" i="19"/>
  <c r="AP290" i="19"/>
  <c r="D50" i="12"/>
  <c r="AP330" i="19"/>
  <c r="G55" i="12"/>
  <c r="G41" i="12" s="1"/>
  <c r="H20" i="2"/>
  <c r="D89" i="19"/>
  <c r="AQ289" i="19"/>
  <c r="AO286" i="19"/>
  <c r="C90" i="19"/>
  <c r="C91" i="19"/>
  <c r="C15" i="17"/>
  <c r="C17" i="17" s="1"/>
  <c r="B371" i="19"/>
  <c r="B11" i="4"/>
  <c r="B10" i="4"/>
  <c r="A3" i="21"/>
  <c r="B15" i="12"/>
  <c r="B181" i="17"/>
  <c r="B20" i="12"/>
  <c r="D191" i="19"/>
  <c r="D188" i="19"/>
  <c r="B188" i="19"/>
  <c r="B191" i="19"/>
  <c r="B76" i="8"/>
  <c r="B52" i="19"/>
  <c r="B91" i="19"/>
  <c r="B116" i="7"/>
  <c r="B15" i="17"/>
  <c r="B89" i="19"/>
  <c r="B36" i="7"/>
  <c r="B71" i="7"/>
  <c r="B173" i="7"/>
  <c r="B90" i="19"/>
  <c r="A15" i="21"/>
  <c r="B7" i="14"/>
  <c r="B28" i="4"/>
  <c r="E191" i="19"/>
  <c r="E188" i="19"/>
  <c r="A8" i="21"/>
  <c r="B95" i="19"/>
  <c r="G42" i="19"/>
  <c r="D40" i="19"/>
  <c r="C20" i="19"/>
  <c r="C36" i="19"/>
  <c r="F48" i="18"/>
  <c r="H48" i="18"/>
  <c r="G41" i="18"/>
  <c r="A2" i="19"/>
  <c r="D20" i="19"/>
  <c r="D36" i="19"/>
  <c r="D42" i="19"/>
  <c r="D25" i="19"/>
  <c r="F120" i="19"/>
  <c r="F137" i="19"/>
  <c r="G32" i="18"/>
  <c r="G26" i="18"/>
  <c r="G17" i="18"/>
  <c r="F34" i="2" l="1"/>
  <c r="C189" i="7"/>
  <c r="AZ18" i="22"/>
  <c r="C53" i="19"/>
  <c r="C57" i="19" s="1"/>
  <c r="C217" i="7" s="1"/>
  <c r="C52" i="19"/>
  <c r="C54" i="19" s="1"/>
  <c r="C214" i="7" s="1"/>
  <c r="C36" i="7"/>
  <c r="C385" i="19"/>
  <c r="C387" i="19" s="1"/>
  <c r="B11" i="21"/>
  <c r="E189" i="19"/>
  <c r="H124" i="2"/>
  <c r="E196" i="19"/>
  <c r="BD24" i="22"/>
  <c r="G149" i="17"/>
  <c r="G146" i="17"/>
  <c r="F290" i="19"/>
  <c r="F285" i="19"/>
  <c r="F286" i="19" s="1"/>
  <c r="Z285" i="19"/>
  <c r="Z273" i="19"/>
  <c r="Z278" i="19"/>
  <c r="K273" i="19"/>
  <c r="K274" i="19" s="1"/>
  <c r="K285" i="19"/>
  <c r="K286" i="19" s="1"/>
  <c r="K278" i="19"/>
  <c r="I290" i="19"/>
  <c r="I285" i="19"/>
  <c r="I286" i="19" s="1"/>
  <c r="B11" i="10"/>
  <c r="B417" i="19"/>
  <c r="B76" i="10"/>
  <c r="B22" i="5"/>
  <c r="C326" i="19"/>
  <c r="H62" i="8"/>
  <c r="H109" i="2"/>
  <c r="E61" i="9"/>
  <c r="AJ23" i="22"/>
  <c r="D188" i="7"/>
  <c r="G33" i="2"/>
  <c r="AP18" i="22"/>
  <c r="D49" i="19"/>
  <c r="G38" i="2"/>
  <c r="D212" i="7"/>
  <c r="Z19" i="22"/>
  <c r="G218" i="2"/>
  <c r="D22" i="4"/>
  <c r="D26" i="13"/>
  <c r="C333" i="19"/>
  <c r="C14" i="5" s="1"/>
  <c r="BJ28" i="22"/>
  <c r="H26" i="2"/>
  <c r="E39" i="19"/>
  <c r="AF18" i="22"/>
  <c r="I91" i="2"/>
  <c r="R22" i="22"/>
  <c r="F185" i="19"/>
  <c r="G139" i="19"/>
  <c r="G127" i="19" s="1"/>
  <c r="G130" i="19" s="1"/>
  <c r="D20" i="22"/>
  <c r="B78" i="8"/>
  <c r="B94" i="8" s="1"/>
  <c r="B112" i="19"/>
  <c r="L285" i="19"/>
  <c r="L286" i="19" s="1"/>
  <c r="L278" i="19"/>
  <c r="L273" i="19"/>
  <c r="L274" i="19" s="1"/>
  <c r="V290" i="19"/>
  <c r="V285" i="19"/>
  <c r="V286" i="19" s="1"/>
  <c r="AP278" i="19"/>
  <c r="G58" i="12"/>
  <c r="AA273" i="19"/>
  <c r="AA274" i="19" s="1"/>
  <c r="AA278" i="19"/>
  <c r="AA285" i="19"/>
  <c r="AA286" i="19" s="1"/>
  <c r="U290" i="19"/>
  <c r="U285" i="19"/>
  <c r="U286" i="19" s="1"/>
  <c r="C99" i="19"/>
  <c r="C71" i="8"/>
  <c r="C81" i="8" s="1"/>
  <c r="B28" i="17"/>
  <c r="B38" i="17"/>
  <c r="B60" i="17"/>
  <c r="I36" i="2"/>
  <c r="F208" i="7"/>
  <c r="F19" i="22"/>
  <c r="B195" i="7"/>
  <c r="B33" i="7"/>
  <c r="C37" i="7"/>
  <c r="E125" i="19"/>
  <c r="E78" i="19"/>
  <c r="E198" i="19"/>
  <c r="G28" i="19"/>
  <c r="AB273" i="19"/>
  <c r="AB274" i="19" s="1"/>
  <c r="AB278" i="19"/>
  <c r="AB285" i="19"/>
  <c r="AB286" i="19" s="1"/>
  <c r="Q285" i="19"/>
  <c r="Q286" i="19" s="1"/>
  <c r="Q273" i="19"/>
  <c r="Q274" i="19" s="1"/>
  <c r="Q278" i="19"/>
  <c r="AH285" i="19"/>
  <c r="AH286" i="19" s="1"/>
  <c r="AH290" i="19"/>
  <c r="O290" i="19"/>
  <c r="O285" i="19"/>
  <c r="O286" i="19" s="1"/>
  <c r="H58" i="12"/>
  <c r="AQ278" i="19"/>
  <c r="H50" i="12"/>
  <c r="B17" i="4"/>
  <c r="A7" i="21"/>
  <c r="B20" i="4"/>
  <c r="B383" i="19"/>
  <c r="B84" i="17"/>
  <c r="B86" i="17"/>
  <c r="B86" i="10"/>
  <c r="B58" i="10"/>
  <c r="B64" i="10"/>
  <c r="G108" i="2"/>
  <c r="D59" i="9"/>
  <c r="V23" i="22"/>
  <c r="B198" i="7"/>
  <c r="B37" i="7"/>
  <c r="H111" i="2"/>
  <c r="E65" i="9"/>
  <c r="BH23" i="22"/>
  <c r="D63" i="9"/>
  <c r="G110" i="2"/>
  <c r="AT23" i="22"/>
  <c r="F37" i="2"/>
  <c r="C209" i="7"/>
  <c r="L19" i="22"/>
  <c r="G39" i="2"/>
  <c r="D213" i="7"/>
  <c r="AL19" i="22"/>
  <c r="J51" i="2"/>
  <c r="F138" i="19"/>
  <c r="F122" i="19" s="1"/>
  <c r="BB19" i="22"/>
  <c r="I138" i="2"/>
  <c r="F15" i="11"/>
  <c r="B26" i="22"/>
  <c r="G16" i="11"/>
  <c r="H16" i="11" s="1"/>
  <c r="P26" i="22"/>
  <c r="I125" i="2"/>
  <c r="F197" i="19"/>
  <c r="F25" i="22"/>
  <c r="AG273" i="19"/>
  <c r="AG274" i="19" s="1"/>
  <c r="AG278" i="19"/>
  <c r="AG285" i="19"/>
  <c r="AG286" i="19" s="1"/>
  <c r="J273" i="19"/>
  <c r="J274" i="19" s="1"/>
  <c r="J278" i="19"/>
  <c r="J285" i="19"/>
  <c r="J286" i="19" s="1"/>
  <c r="AE290" i="19"/>
  <c r="B63" i="12" s="1"/>
  <c r="B62" i="12"/>
  <c r="AE330" i="19"/>
  <c r="B55" i="12" s="1"/>
  <c r="B54" i="12"/>
  <c r="C28" i="4"/>
  <c r="D396" i="19"/>
  <c r="B45" i="17"/>
  <c r="B55" i="17"/>
  <c r="B113" i="17"/>
  <c r="B116" i="17"/>
  <c r="G75" i="10"/>
  <c r="G70" i="10"/>
  <c r="G71" i="10"/>
  <c r="G74" i="10"/>
  <c r="G50" i="12"/>
  <c r="B310" i="19"/>
  <c r="B313" i="19" s="1"/>
  <c r="B118" i="8"/>
  <c r="C23" i="12" s="1"/>
  <c r="D22" i="19"/>
  <c r="D28" i="19"/>
  <c r="C22" i="19"/>
  <c r="C28" i="19"/>
  <c r="E18" i="2"/>
  <c r="B77" i="8"/>
  <c r="B111" i="19"/>
  <c r="B175" i="7"/>
  <c r="B177" i="7"/>
  <c r="B38" i="7"/>
  <c r="C129" i="17"/>
  <c r="B97" i="7"/>
  <c r="B141" i="7"/>
  <c r="B40" i="7"/>
  <c r="B17" i="17"/>
  <c r="B19" i="17"/>
  <c r="B101" i="19"/>
  <c r="B73" i="8"/>
  <c r="B107" i="19"/>
  <c r="B97" i="19"/>
  <c r="C100" i="19"/>
  <c r="C72" i="8"/>
  <c r="C92" i="19"/>
  <c r="F10" i="19"/>
  <c r="AL17" i="22"/>
  <c r="F69" i="7"/>
  <c r="I20" i="2"/>
  <c r="I55" i="12"/>
  <c r="D26" i="19"/>
  <c r="F21" i="2"/>
  <c r="D41" i="19"/>
  <c r="D44" i="19"/>
  <c r="C41" i="19"/>
  <c r="C44" i="19"/>
  <c r="D29" i="19"/>
  <c r="B72" i="8"/>
  <c r="B100" i="19"/>
  <c r="B116" i="19" s="1"/>
  <c r="B106" i="19"/>
  <c r="B200" i="7"/>
  <c r="B110" i="8"/>
  <c r="B75" i="7"/>
  <c r="B72" i="7"/>
  <c r="B71" i="8"/>
  <c r="B99" i="19"/>
  <c r="B115" i="19" s="1"/>
  <c r="B92" i="19"/>
  <c r="B105" i="19"/>
  <c r="B54" i="19"/>
  <c r="B56" i="19"/>
  <c r="B79" i="8"/>
  <c r="B92" i="8"/>
  <c r="A4" i="21"/>
  <c r="B373" i="19"/>
  <c r="B13" i="4"/>
  <c r="C73" i="8"/>
  <c r="C83" i="8" s="1"/>
  <c r="C101" i="19"/>
  <c r="D71" i="8"/>
  <c r="D92" i="19"/>
  <c r="G326" i="19"/>
  <c r="F22" i="5"/>
  <c r="D51" i="12"/>
  <c r="AM286" i="19"/>
  <c r="I50" i="12"/>
  <c r="AM285" i="19"/>
  <c r="B117" i="19"/>
  <c r="B117" i="7"/>
  <c r="C22" i="5"/>
  <c r="H22" i="5" s="1"/>
  <c r="D326" i="19"/>
  <c r="I41" i="12"/>
  <c r="AP286" i="19" l="1"/>
  <c r="G51" i="12"/>
  <c r="G40" i="12" s="1"/>
  <c r="AP285" i="19"/>
  <c r="B79" i="9"/>
  <c r="B57" i="17"/>
  <c r="B54" i="17"/>
  <c r="G15" i="11"/>
  <c r="H15" i="11" s="1"/>
  <c r="D26" i="22"/>
  <c r="C195" i="7"/>
  <c r="C33" i="7"/>
  <c r="B142" i="7"/>
  <c r="C130" i="17"/>
  <c r="E59" i="9"/>
  <c r="H108" i="2"/>
  <c r="X23" i="22"/>
  <c r="B88" i="10"/>
  <c r="B94" i="10"/>
  <c r="E81" i="19"/>
  <c r="E60" i="8"/>
  <c r="B77" i="10"/>
  <c r="B204" i="19"/>
  <c r="B80" i="10"/>
  <c r="B208" i="19"/>
  <c r="B206" i="19"/>
  <c r="B207" i="19"/>
  <c r="B23" i="6"/>
  <c r="B205" i="19"/>
  <c r="B418" i="19"/>
  <c r="Z286" i="19"/>
  <c r="B51" i="12" s="1"/>
  <c r="B50" i="12"/>
  <c r="D189" i="7"/>
  <c r="G34" i="2"/>
  <c r="BB18" i="22"/>
  <c r="D52" i="19"/>
  <c r="D28" i="4"/>
  <c r="E396" i="19"/>
  <c r="G37" i="2"/>
  <c r="D209" i="7"/>
  <c r="D33" i="7" s="1"/>
  <c r="N19" i="22"/>
  <c r="B42" i="10"/>
  <c r="AQ273" i="19"/>
  <c r="H59" i="12"/>
  <c r="G19" i="3" s="1"/>
  <c r="AQ274" i="19"/>
  <c r="B72" i="17"/>
  <c r="F187" i="19"/>
  <c r="F189" i="19"/>
  <c r="E43" i="19"/>
  <c r="E25" i="19"/>
  <c r="E40" i="19"/>
  <c r="D36" i="7"/>
  <c r="H33" i="2"/>
  <c r="E188" i="7"/>
  <c r="AR18" i="22"/>
  <c r="E49" i="19"/>
  <c r="C342" i="19"/>
  <c r="C176" i="17"/>
  <c r="B15" i="21"/>
  <c r="C391" i="19"/>
  <c r="C7" i="14"/>
  <c r="F125" i="19"/>
  <c r="F78" i="19"/>
  <c r="H39" i="2"/>
  <c r="E213" i="7"/>
  <c r="AN19" i="22"/>
  <c r="B88" i="17"/>
  <c r="B56" i="9"/>
  <c r="B85" i="17"/>
  <c r="C142" i="7"/>
  <c r="C265" i="19"/>
  <c r="D130" i="17"/>
  <c r="B74" i="9"/>
  <c r="B62" i="17"/>
  <c r="B37" i="17"/>
  <c r="B40" i="17"/>
  <c r="AP274" i="19"/>
  <c r="AP273" i="19"/>
  <c r="I58" i="12"/>
  <c r="G59" i="12"/>
  <c r="I26" i="2"/>
  <c r="AH18" i="22"/>
  <c r="F39" i="19"/>
  <c r="D24" i="4"/>
  <c r="C13" i="21" s="1"/>
  <c r="D385" i="19"/>
  <c r="D387" i="19" s="1"/>
  <c r="C11" i="21"/>
  <c r="H38" i="2"/>
  <c r="E212" i="7"/>
  <c r="AB19" i="22"/>
  <c r="D195" i="7"/>
  <c r="D194" i="7"/>
  <c r="F61" i="9"/>
  <c r="I109" i="2"/>
  <c r="AL23" i="22"/>
  <c r="H25" i="22"/>
  <c r="G197" i="19"/>
  <c r="G138" i="19"/>
  <c r="G122" i="19" s="1"/>
  <c r="BD19" i="22"/>
  <c r="H110" i="2"/>
  <c r="E63" i="9"/>
  <c r="AV23" i="22"/>
  <c r="I111" i="2"/>
  <c r="F65" i="9"/>
  <c r="BJ23" i="22"/>
  <c r="B66" i="10"/>
  <c r="B63" i="10"/>
  <c r="A10" i="21"/>
  <c r="B25" i="4"/>
  <c r="B388" i="19"/>
  <c r="A14" i="21" s="1"/>
  <c r="AQ285" i="19"/>
  <c r="AQ286" i="19"/>
  <c r="H51" i="12"/>
  <c r="H40" i="12" s="1"/>
  <c r="B41" i="7"/>
  <c r="B138" i="7"/>
  <c r="B96" i="7"/>
  <c r="C126" i="17"/>
  <c r="B261" i="19"/>
  <c r="B262" i="19" s="1"/>
  <c r="B34" i="7"/>
  <c r="B104" i="7" s="1"/>
  <c r="G208" i="7"/>
  <c r="H19" i="22"/>
  <c r="G185" i="19"/>
  <c r="T22" i="22"/>
  <c r="H218" i="2"/>
  <c r="E26" i="13"/>
  <c r="E22" i="4"/>
  <c r="BL28" i="22"/>
  <c r="D333" i="19"/>
  <c r="D14" i="5" s="1"/>
  <c r="B58" i="12"/>
  <c r="Z274" i="19"/>
  <c r="B59" i="12" s="1"/>
  <c r="I124" i="2"/>
  <c r="F196" i="19"/>
  <c r="F198" i="19" s="1"/>
  <c r="BF24" i="22"/>
  <c r="D129" i="17"/>
  <c r="D131" i="17" s="1"/>
  <c r="C97" i="7"/>
  <c r="C38" i="7"/>
  <c r="C105" i="7" s="1"/>
  <c r="C141" i="7"/>
  <c r="C198" i="7"/>
  <c r="C199" i="7"/>
  <c r="D74" i="8"/>
  <c r="B95" i="8"/>
  <c r="B216" i="7"/>
  <c r="B98" i="19"/>
  <c r="B102" i="19"/>
  <c r="B108" i="19"/>
  <c r="B74" i="8"/>
  <c r="B81" i="8"/>
  <c r="B87" i="8"/>
  <c r="B83" i="7"/>
  <c r="B201" i="7"/>
  <c r="B190" i="7"/>
  <c r="B204" i="7"/>
  <c r="B120" i="8"/>
  <c r="B122" i="8"/>
  <c r="B121" i="8"/>
  <c r="C29" i="12"/>
  <c r="B111" i="8"/>
  <c r="B167" i="17"/>
  <c r="C172" i="17"/>
  <c r="C171" i="17"/>
  <c r="C173" i="17" s="1"/>
  <c r="B166" i="17"/>
  <c r="B168" i="17" s="1"/>
  <c r="B356" i="19" s="1"/>
  <c r="B82" i="8"/>
  <c r="B88" i="8"/>
  <c r="D70" i="7"/>
  <c r="AT17" i="22"/>
  <c r="G21" i="2"/>
  <c r="D11" i="19"/>
  <c r="G10" i="19"/>
  <c r="G69" i="7"/>
  <c r="AN17" i="22"/>
  <c r="C74" i="8"/>
  <c r="C82" i="8"/>
  <c r="B265" i="19"/>
  <c r="B269" i="19" s="1"/>
  <c r="B21" i="8" s="1"/>
  <c r="B113" i="19"/>
  <c r="B83" i="8"/>
  <c r="B89" i="8"/>
  <c r="B143" i="7"/>
  <c r="B145" i="7"/>
  <c r="C131" i="17"/>
  <c r="C133" i="17"/>
  <c r="B105" i="7"/>
  <c r="B42" i="7"/>
  <c r="B8" i="7"/>
  <c r="B39" i="7"/>
  <c r="C6" i="19"/>
  <c r="H17" i="22"/>
  <c r="C65" i="7"/>
  <c r="C30" i="19"/>
  <c r="C27" i="19"/>
  <c r="D40" i="12"/>
  <c r="I51" i="12"/>
  <c r="A6" i="21"/>
  <c r="B399" i="19"/>
  <c r="B214" i="7"/>
  <c r="B55" i="19"/>
  <c r="B58" i="19"/>
  <c r="F173" i="7"/>
  <c r="F91" i="19"/>
  <c r="H69" i="7"/>
  <c r="F15" i="17"/>
  <c r="F89" i="19"/>
  <c r="F90" i="19"/>
  <c r="H198" i="7"/>
  <c r="D264" i="19"/>
  <c r="C98" i="19"/>
  <c r="C264" i="19"/>
  <c r="C266" i="19" s="1"/>
  <c r="C102" i="19"/>
  <c r="B21" i="17"/>
  <c r="B18" i="17"/>
  <c r="B23" i="7"/>
  <c r="B53" i="7"/>
  <c r="B170" i="19"/>
  <c r="B98" i="7"/>
  <c r="B264" i="19"/>
  <c r="B179" i="7"/>
  <c r="B176" i="7"/>
  <c r="B93" i="8"/>
  <c r="F18" i="2"/>
  <c r="D30" i="19"/>
  <c r="D27" i="19"/>
  <c r="C134" i="17" l="1"/>
  <c r="C127" i="17"/>
  <c r="B24" i="7"/>
  <c r="B171" i="19"/>
  <c r="B54" i="7"/>
  <c r="G125" i="19"/>
  <c r="G78" i="19"/>
  <c r="G61" i="9"/>
  <c r="H61" i="9" s="1"/>
  <c r="AN23" i="22"/>
  <c r="G39" i="19"/>
  <c r="AJ18" i="22"/>
  <c r="B77" i="9"/>
  <c r="B100" i="10"/>
  <c r="B84" i="9"/>
  <c r="C143" i="7"/>
  <c r="E194" i="7"/>
  <c r="E26" i="19"/>
  <c r="E29" i="19"/>
  <c r="B50" i="10"/>
  <c r="B44" i="10"/>
  <c r="B14" i="10"/>
  <c r="F396" i="19"/>
  <c r="E28" i="4"/>
  <c r="E189" i="7"/>
  <c r="H34" i="2"/>
  <c r="BD18" i="22"/>
  <c r="E52" i="19"/>
  <c r="D126" i="17"/>
  <c r="D134" i="17" s="1"/>
  <c r="C41" i="7"/>
  <c r="C138" i="7"/>
  <c r="C146" i="7" s="1"/>
  <c r="C261" i="19"/>
  <c r="C269" i="19" s="1"/>
  <c r="C21" i="8" s="1"/>
  <c r="C39" i="8" s="1"/>
  <c r="G12" i="4"/>
  <c r="G376" i="19"/>
  <c r="G196" i="19"/>
  <c r="G198" i="19" s="1"/>
  <c r="BH24" i="22"/>
  <c r="F26" i="13"/>
  <c r="E333" i="19"/>
  <c r="E14" i="5" s="1"/>
  <c r="B29" i="22"/>
  <c r="I218" i="2"/>
  <c r="F22" i="4"/>
  <c r="H376" i="19"/>
  <c r="I40" i="12"/>
  <c r="H12" i="4"/>
  <c r="E198" i="7"/>
  <c r="E36" i="7"/>
  <c r="F19" i="3"/>
  <c r="I59" i="12"/>
  <c r="E199" i="7"/>
  <c r="I33" i="2"/>
  <c r="F188" i="7"/>
  <c r="F194" i="7" s="1"/>
  <c r="AT18" i="22"/>
  <c r="F49" i="19"/>
  <c r="C15" i="21"/>
  <c r="D7" i="14"/>
  <c r="D391" i="19"/>
  <c r="D198" i="7"/>
  <c r="D199" i="7"/>
  <c r="B96" i="10"/>
  <c r="B93" i="10"/>
  <c r="B139" i="7"/>
  <c r="B146" i="7"/>
  <c r="I110" i="2"/>
  <c r="F63" i="9"/>
  <c r="AX23" i="22"/>
  <c r="I38" i="2"/>
  <c r="F212" i="7"/>
  <c r="AD19" i="22"/>
  <c r="F25" i="19"/>
  <c r="F40" i="19"/>
  <c r="F43" i="19"/>
  <c r="B74" i="17"/>
  <c r="B58" i="17"/>
  <c r="B71" i="17"/>
  <c r="B57" i="9"/>
  <c r="B30" i="9"/>
  <c r="B38" i="9" s="1"/>
  <c r="I39" i="2"/>
  <c r="F213" i="7"/>
  <c r="AP19" i="22"/>
  <c r="D141" i="7"/>
  <c r="E129" i="17"/>
  <c r="G13" i="5"/>
  <c r="H42" i="12"/>
  <c r="D261" i="19"/>
  <c r="E126" i="17"/>
  <c r="D138" i="7"/>
  <c r="E63" i="8"/>
  <c r="B105" i="10"/>
  <c r="B108" i="10" s="1"/>
  <c r="B82" i="9"/>
  <c r="B27" i="9" s="1"/>
  <c r="E24" i="4"/>
  <c r="D13" i="21" s="1"/>
  <c r="D11" i="21"/>
  <c r="E385" i="19"/>
  <c r="E387" i="19" s="1"/>
  <c r="G189" i="19"/>
  <c r="G187" i="19"/>
  <c r="G65" i="9"/>
  <c r="H65" i="9" s="1"/>
  <c r="BL23" i="22"/>
  <c r="F81" i="19"/>
  <c r="F60" i="8"/>
  <c r="F63" i="8" s="1"/>
  <c r="E41" i="19"/>
  <c r="E44" i="19"/>
  <c r="F188" i="19"/>
  <c r="F191" i="19"/>
  <c r="E209" i="7"/>
  <c r="E33" i="7" s="1"/>
  <c r="H37" i="2"/>
  <c r="P19" i="22"/>
  <c r="F59" i="9"/>
  <c r="I108" i="2"/>
  <c r="Z23" i="22"/>
  <c r="D6" i="19"/>
  <c r="G18" i="2"/>
  <c r="J17" i="22"/>
  <c r="D65" i="7"/>
  <c r="F72" i="8"/>
  <c r="F73" i="8"/>
  <c r="B215" i="7"/>
  <c r="B218" i="7"/>
  <c r="B392" i="19"/>
  <c r="C67" i="7"/>
  <c r="C115" i="7"/>
  <c r="C169" i="7"/>
  <c r="C48" i="19"/>
  <c r="C73" i="19"/>
  <c r="C75" i="19"/>
  <c r="C32" i="7"/>
  <c r="C73" i="7"/>
  <c r="C11" i="17"/>
  <c r="C74" i="19"/>
  <c r="C8" i="19"/>
  <c r="C14" i="19"/>
  <c r="B13" i="7"/>
  <c r="B106" i="7"/>
  <c r="B55" i="7"/>
  <c r="C132" i="17"/>
  <c r="C12" i="12" s="1"/>
  <c r="C135" i="17"/>
  <c r="B99" i="8"/>
  <c r="B39" i="8"/>
  <c r="C80" i="8"/>
  <c r="B56" i="18" s="1"/>
  <c r="C84" i="8"/>
  <c r="G89" i="19"/>
  <c r="G173" i="7"/>
  <c r="G15" i="17"/>
  <c r="G91" i="19"/>
  <c r="G90" i="19"/>
  <c r="D12" i="19"/>
  <c r="D15" i="19"/>
  <c r="B98" i="8"/>
  <c r="B359" i="19"/>
  <c r="B134" i="19"/>
  <c r="B132" i="19"/>
  <c r="B140" i="19"/>
  <c r="B133" i="19"/>
  <c r="B63" i="19"/>
  <c r="B316" i="19"/>
  <c r="B321" i="19" s="1"/>
  <c r="B126" i="8"/>
  <c r="B123" i="8"/>
  <c r="B315" i="19"/>
  <c r="B125" i="8"/>
  <c r="B97" i="8"/>
  <c r="B103" i="19"/>
  <c r="B118" i="19"/>
  <c r="B114" i="19"/>
  <c r="B266" i="19"/>
  <c r="B268" i="19"/>
  <c r="B17" i="8" s="1"/>
  <c r="B119" i="17"/>
  <c r="C5" i="17"/>
  <c r="B172" i="19"/>
  <c r="B25" i="7"/>
  <c r="B362" i="19"/>
  <c r="B6" i="3"/>
  <c r="B48" i="7"/>
  <c r="B153" i="7" s="1"/>
  <c r="B16" i="8"/>
  <c r="F92" i="19"/>
  <c r="F71" i="8"/>
  <c r="D376" i="19"/>
  <c r="D12" i="4"/>
  <c r="B144" i="7"/>
  <c r="B147" i="7"/>
  <c r="E11" i="19"/>
  <c r="H21" i="2"/>
  <c r="E70" i="7"/>
  <c r="AV17" i="22"/>
  <c r="D16" i="17"/>
  <c r="D95" i="19"/>
  <c r="D96" i="19"/>
  <c r="D37" i="7"/>
  <c r="D174" i="7"/>
  <c r="D94" i="19"/>
  <c r="D74" i="7"/>
  <c r="D53" i="19"/>
  <c r="D71" i="7"/>
  <c r="D116" i="7"/>
  <c r="C28" i="12"/>
  <c r="C33" i="12"/>
  <c r="B317" i="19"/>
  <c r="B322" i="19" s="1"/>
  <c r="B127" i="8"/>
  <c r="B80" i="8"/>
  <c r="B84" i="8"/>
  <c r="B90" i="8"/>
  <c r="G59" i="9" l="1"/>
  <c r="H59" i="9" s="1"/>
  <c r="AB23" i="22"/>
  <c r="F126" i="17"/>
  <c r="E261" i="19"/>
  <c r="E138" i="7"/>
  <c r="C54" i="7"/>
  <c r="C24" i="7"/>
  <c r="C171" i="19"/>
  <c r="I34" i="2"/>
  <c r="F189" i="7"/>
  <c r="F199" i="7" s="1"/>
  <c r="BF18" i="22"/>
  <c r="F52" i="19"/>
  <c r="B18" i="9"/>
  <c r="B16" i="10"/>
  <c r="B113" i="9" s="1"/>
  <c r="C10" i="13" s="1"/>
  <c r="E30" i="19"/>
  <c r="E27" i="19"/>
  <c r="G25" i="19"/>
  <c r="G40" i="19"/>
  <c r="G43" i="19"/>
  <c r="G191" i="19"/>
  <c r="G188" i="19"/>
  <c r="G63" i="9"/>
  <c r="H63" i="9" s="1"/>
  <c r="AZ23" i="22"/>
  <c r="I12" i="4"/>
  <c r="G5" i="21"/>
  <c r="H372" i="19"/>
  <c r="F24" i="4"/>
  <c r="E13" i="21" s="1"/>
  <c r="E11" i="21"/>
  <c r="F385" i="19"/>
  <c r="F387" i="19" s="1"/>
  <c r="F5" i="21"/>
  <c r="G372" i="19"/>
  <c r="B52" i="10"/>
  <c r="B49" i="10"/>
  <c r="B103" i="10"/>
  <c r="B110" i="10"/>
  <c r="B32" i="9"/>
  <c r="B9" i="9"/>
  <c r="B47" i="9" s="1"/>
  <c r="F44" i="19"/>
  <c r="F41" i="19"/>
  <c r="G212" i="7"/>
  <c r="AF19" i="22"/>
  <c r="F13" i="5"/>
  <c r="H13" i="5" s="1"/>
  <c r="G42" i="12"/>
  <c r="I42" i="12" s="1"/>
  <c r="H19" i="3"/>
  <c r="F333" i="19"/>
  <c r="F14" i="5" s="1"/>
  <c r="G22" i="4"/>
  <c r="G26" i="13"/>
  <c r="J218" i="2"/>
  <c r="D29" i="22"/>
  <c r="D15" i="21"/>
  <c r="E7" i="14"/>
  <c r="E391" i="19"/>
  <c r="E195" i="7"/>
  <c r="B83" i="9"/>
  <c r="B87" i="9"/>
  <c r="B19" i="9"/>
  <c r="B35" i="9" s="1"/>
  <c r="B120" i="17"/>
  <c r="B121" i="17" s="1"/>
  <c r="B253" i="19" s="1"/>
  <c r="C6" i="17"/>
  <c r="C7" i="17" s="1"/>
  <c r="I37" i="2"/>
  <c r="F209" i="7"/>
  <c r="R19" i="22"/>
  <c r="G213" i="7"/>
  <c r="AR19" i="22"/>
  <c r="F29" i="19"/>
  <c r="F26" i="19"/>
  <c r="G188" i="7"/>
  <c r="G194" i="7" s="1"/>
  <c r="AV18" i="22"/>
  <c r="G49" i="19"/>
  <c r="H209" i="7" s="1"/>
  <c r="E141" i="7"/>
  <c r="F129" i="17"/>
  <c r="E264" i="19"/>
  <c r="F28" i="4"/>
  <c r="G396" i="19"/>
  <c r="G81" i="19"/>
  <c r="G60" i="8"/>
  <c r="B363" i="19"/>
  <c r="B20" i="8"/>
  <c r="B22" i="8" s="1"/>
  <c r="B40" i="8" s="1"/>
  <c r="B49" i="7"/>
  <c r="B154" i="7" s="1"/>
  <c r="D200" i="7"/>
  <c r="D203" i="7"/>
  <c r="D82" i="7"/>
  <c r="D178" i="7"/>
  <c r="D175" i="7"/>
  <c r="D112" i="19"/>
  <c r="D78" i="8"/>
  <c r="D101" i="19"/>
  <c r="D17" i="17"/>
  <c r="D20" i="17"/>
  <c r="E16" i="17"/>
  <c r="E95" i="19"/>
  <c r="E37" i="7"/>
  <c r="E53" i="19"/>
  <c r="E96" i="19"/>
  <c r="E71" i="7"/>
  <c r="E174" i="7"/>
  <c r="E94" i="19"/>
  <c r="E116" i="7"/>
  <c r="E74" i="7"/>
  <c r="E12" i="19"/>
  <c r="E15" i="19"/>
  <c r="D372" i="19"/>
  <c r="C5" i="21"/>
  <c r="E74" i="2"/>
  <c r="E73" i="2"/>
  <c r="E75" i="2"/>
  <c r="E76" i="2"/>
  <c r="B7" i="8"/>
  <c r="B36" i="8"/>
  <c r="B10" i="3"/>
  <c r="B25" i="8"/>
  <c r="C27" i="12"/>
  <c r="B124" i="8"/>
  <c r="B128" i="8"/>
  <c r="B131" i="19"/>
  <c r="B135" i="19"/>
  <c r="G72" i="8"/>
  <c r="G92" i="19"/>
  <c r="G71" i="8"/>
  <c r="C16" i="19"/>
  <c r="C13" i="19"/>
  <c r="C19" i="17"/>
  <c r="C13" i="17"/>
  <c r="C40" i="7"/>
  <c r="C96" i="7"/>
  <c r="C34" i="7"/>
  <c r="C137" i="7"/>
  <c r="D125" i="17"/>
  <c r="C55" i="8"/>
  <c r="C105" i="19"/>
  <c r="C83" i="19"/>
  <c r="C115" i="19" s="1"/>
  <c r="C76" i="19"/>
  <c r="C260" i="19" s="1"/>
  <c r="C177" i="7"/>
  <c r="C171" i="7"/>
  <c r="C75" i="7"/>
  <c r="C72" i="7"/>
  <c r="C196" i="7"/>
  <c r="C109" i="8"/>
  <c r="B8" i="14"/>
  <c r="B30" i="4"/>
  <c r="B393" i="19"/>
  <c r="B29" i="4"/>
  <c r="A16" i="21"/>
  <c r="B9" i="14"/>
  <c r="H173" i="7"/>
  <c r="D67" i="7"/>
  <c r="D169" i="7"/>
  <c r="D48" i="19"/>
  <c r="D74" i="19"/>
  <c r="D73" i="19"/>
  <c r="D115" i="7"/>
  <c r="D117" i="7" s="1"/>
  <c r="D73" i="7"/>
  <c r="D11" i="17"/>
  <c r="D75" i="19"/>
  <c r="D32" i="7"/>
  <c r="E65" i="7"/>
  <c r="L17" i="22"/>
  <c r="E6" i="19"/>
  <c r="H18" i="2"/>
  <c r="B52" i="18"/>
  <c r="A53" i="18" s="1"/>
  <c r="B85" i="8"/>
  <c r="B100" i="8"/>
  <c r="B9" i="3"/>
  <c r="B96" i="8"/>
  <c r="B68" i="19"/>
  <c r="C144" i="19"/>
  <c r="C145" i="19" s="1"/>
  <c r="C32" i="12"/>
  <c r="C110" i="8"/>
  <c r="D57" i="19"/>
  <c r="D54" i="19"/>
  <c r="D76" i="8"/>
  <c r="D97" i="19"/>
  <c r="D110" i="19"/>
  <c r="D99" i="19"/>
  <c r="D41" i="7"/>
  <c r="D142" i="7"/>
  <c r="E130" i="17"/>
  <c r="D38" i="7"/>
  <c r="D97" i="7"/>
  <c r="D77" i="8"/>
  <c r="D111" i="19"/>
  <c r="D100" i="19"/>
  <c r="F70" i="7"/>
  <c r="AX17" i="22"/>
  <c r="F11" i="19"/>
  <c r="I21" i="2"/>
  <c r="F74" i="8"/>
  <c r="H71" i="8"/>
  <c r="B18" i="8"/>
  <c r="B37" i="8" s="1"/>
  <c r="B6" i="8"/>
  <c r="B24" i="8"/>
  <c r="B11" i="3"/>
  <c r="B7" i="6"/>
  <c r="B13" i="6"/>
  <c r="C15" i="13"/>
  <c r="C17" i="13"/>
  <c r="B364" i="19"/>
  <c r="E117" i="2"/>
  <c r="B16" i="3"/>
  <c r="B8" i="6" s="1"/>
  <c r="B22" i="3"/>
  <c r="B9" i="6" s="1"/>
  <c r="C7" i="3"/>
  <c r="B12" i="6"/>
  <c r="B14" i="6"/>
  <c r="C16" i="13"/>
  <c r="C18" i="13"/>
  <c r="E118" i="2"/>
  <c r="B155" i="7"/>
  <c r="B50" i="7"/>
  <c r="B270" i="19"/>
  <c r="B267" i="19"/>
  <c r="B318" i="19"/>
  <c r="B320" i="19"/>
  <c r="B112" i="9" s="1"/>
  <c r="G73" i="8"/>
  <c r="H73" i="8" s="1"/>
  <c r="C9" i="4"/>
  <c r="B10" i="11"/>
  <c r="C256" i="19"/>
  <c r="B336" i="19" s="1"/>
  <c r="B20" i="5" s="1"/>
  <c r="C84" i="19"/>
  <c r="C116" i="19" s="1"/>
  <c r="C106" i="19"/>
  <c r="C56" i="8"/>
  <c r="C81" i="7"/>
  <c r="C202" i="7"/>
  <c r="C85" i="19"/>
  <c r="C117" i="19" s="1"/>
  <c r="C107" i="19"/>
  <c r="C57" i="8"/>
  <c r="C56" i="19"/>
  <c r="C50" i="19"/>
  <c r="C117" i="7"/>
  <c r="H72" i="8"/>
  <c r="D8" i="19"/>
  <c r="D14" i="19"/>
  <c r="F36" i="7" l="1"/>
  <c r="C120" i="17"/>
  <c r="D6" i="17"/>
  <c r="G28" i="4"/>
  <c r="H396" i="19"/>
  <c r="H28" i="4" s="1"/>
  <c r="F27" i="19"/>
  <c r="F30" i="19"/>
  <c r="G385" i="19"/>
  <c r="G387" i="19" s="1"/>
  <c r="F11" i="21"/>
  <c r="G24" i="4"/>
  <c r="F13" i="21" s="1"/>
  <c r="F198" i="7"/>
  <c r="C363" i="19"/>
  <c r="C49" i="7"/>
  <c r="C154" i="7" s="1"/>
  <c r="C20" i="8"/>
  <c r="C22" i="8" s="1"/>
  <c r="C40" i="8" s="1"/>
  <c r="F7" i="14"/>
  <c r="F391" i="19"/>
  <c r="E15" i="21"/>
  <c r="F195" i="7"/>
  <c r="F33" i="7"/>
  <c r="G41" i="19"/>
  <c r="G44" i="19"/>
  <c r="G63" i="8"/>
  <c r="H63" i="8" s="1"/>
  <c r="H60" i="8"/>
  <c r="G209" i="7"/>
  <c r="T19" i="22"/>
  <c r="G333" i="19"/>
  <c r="G14" i="5" s="1"/>
  <c r="H14" i="5" s="1"/>
  <c r="H26" i="13"/>
  <c r="I26" i="13"/>
  <c r="H22" i="4"/>
  <c r="F29" i="22"/>
  <c r="B113" i="10"/>
  <c r="B109" i="10"/>
  <c r="G29" i="19"/>
  <c r="G26" i="19"/>
  <c r="B8" i="9"/>
  <c r="B34" i="9"/>
  <c r="B24" i="9"/>
  <c r="G189" i="7"/>
  <c r="BH18" i="22"/>
  <c r="G52" i="19"/>
  <c r="H212" i="7" s="1"/>
  <c r="C268" i="19"/>
  <c r="C17" i="8" s="1"/>
  <c r="C262" i="19"/>
  <c r="E8" i="19"/>
  <c r="E14" i="19"/>
  <c r="E67" i="7"/>
  <c r="E169" i="7"/>
  <c r="E48" i="19"/>
  <c r="E75" i="19"/>
  <c r="E73" i="19"/>
  <c r="E73" i="7"/>
  <c r="E115" i="7"/>
  <c r="E11" i="17"/>
  <c r="E74" i="19"/>
  <c r="E32" i="7"/>
  <c r="D57" i="8"/>
  <c r="D85" i="19"/>
  <c r="D117" i="19" s="1"/>
  <c r="D107" i="19"/>
  <c r="D81" i="7"/>
  <c r="D202" i="7"/>
  <c r="D76" i="19"/>
  <c r="D83" i="19"/>
  <c r="D115" i="19" s="1"/>
  <c r="D55" i="8"/>
  <c r="D105" i="19"/>
  <c r="D50" i="19"/>
  <c r="D56" i="19"/>
  <c r="D216" i="7" s="1"/>
  <c r="D75" i="7"/>
  <c r="D72" i="7"/>
  <c r="D196" i="7"/>
  <c r="A17" i="21"/>
  <c r="B402" i="19"/>
  <c r="B34" i="4" s="1"/>
  <c r="C201" i="7"/>
  <c r="C190" i="7"/>
  <c r="C204" i="7"/>
  <c r="C83" i="7"/>
  <c r="C87" i="8"/>
  <c r="C65" i="8"/>
  <c r="C58" i="8"/>
  <c r="D127" i="17"/>
  <c r="D133" i="17"/>
  <c r="C39" i="7"/>
  <c r="C104" i="7"/>
  <c r="C8" i="7"/>
  <c r="C42" i="7"/>
  <c r="C18" i="17"/>
  <c r="C21" i="17"/>
  <c r="C29" i="10"/>
  <c r="F21" i="22"/>
  <c r="C161" i="19"/>
  <c r="C158" i="19"/>
  <c r="BF20" i="22"/>
  <c r="C26" i="10"/>
  <c r="E203" i="7"/>
  <c r="E82" i="7"/>
  <c r="E99" i="19"/>
  <c r="E76" i="8"/>
  <c r="E97" i="19"/>
  <c r="E265" i="19" s="1"/>
  <c r="E110" i="19"/>
  <c r="E200" i="7"/>
  <c r="E54" i="19"/>
  <c r="E214" i="7" s="1"/>
  <c r="E57" i="19"/>
  <c r="E217" i="7" s="1"/>
  <c r="E77" i="8"/>
  <c r="E100" i="19"/>
  <c r="E111" i="19"/>
  <c r="C216" i="7"/>
  <c r="C88" i="8"/>
  <c r="C66" i="8"/>
  <c r="B18" i="3"/>
  <c r="C304" i="19"/>
  <c r="C158" i="17"/>
  <c r="B323" i="19"/>
  <c r="B319" i="19"/>
  <c r="C94" i="9"/>
  <c r="C106" i="9"/>
  <c r="C105" i="9"/>
  <c r="AB24" i="22"/>
  <c r="C91" i="9"/>
  <c r="C103" i="9"/>
  <c r="C102" i="9"/>
  <c r="P24" i="22"/>
  <c r="B26" i="8"/>
  <c r="G70" i="7"/>
  <c r="AZ17" i="22"/>
  <c r="G11" i="19"/>
  <c r="D93" i="8"/>
  <c r="D82" i="8"/>
  <c r="D105" i="7"/>
  <c r="E134" i="17"/>
  <c r="E131" i="17"/>
  <c r="D54" i="7"/>
  <c r="D171" i="19"/>
  <c r="D24" i="7"/>
  <c r="D113" i="19"/>
  <c r="D98" i="19"/>
  <c r="D102" i="19"/>
  <c r="D16" i="19"/>
  <c r="D13" i="19"/>
  <c r="C55" i="19"/>
  <c r="C210" i="7"/>
  <c r="C58" i="19"/>
  <c r="C67" i="8"/>
  <c r="C89" i="8"/>
  <c r="C369" i="19"/>
  <c r="B2" i="21"/>
  <c r="C9" i="13"/>
  <c r="B43" i="8"/>
  <c r="B8" i="8"/>
  <c r="F15" i="19"/>
  <c r="F12" i="19"/>
  <c r="F174" i="7"/>
  <c r="F53" i="19"/>
  <c r="F95" i="19"/>
  <c r="F96" i="19"/>
  <c r="F94" i="19"/>
  <c r="F16" i="17"/>
  <c r="F37" i="7"/>
  <c r="F74" i="7"/>
  <c r="F71" i="7"/>
  <c r="F116" i="7"/>
  <c r="H199" i="7"/>
  <c r="D146" i="7"/>
  <c r="D143" i="7"/>
  <c r="D265" i="19"/>
  <c r="D79" i="8"/>
  <c r="D92" i="8"/>
  <c r="D81" i="8"/>
  <c r="D214" i="7"/>
  <c r="D217" i="7"/>
  <c r="C121" i="8"/>
  <c r="D29" i="12"/>
  <c r="C122" i="8"/>
  <c r="C120" i="8"/>
  <c r="F6" i="19"/>
  <c r="I18" i="2"/>
  <c r="F65" i="7"/>
  <c r="N17" i="22"/>
  <c r="D40" i="7"/>
  <c r="D96" i="7"/>
  <c r="D98" i="7" s="1"/>
  <c r="E125" i="17"/>
  <c r="D34" i="7"/>
  <c r="D137" i="7"/>
  <c r="D260" i="19"/>
  <c r="D19" i="17"/>
  <c r="D13" i="17"/>
  <c r="D84" i="19"/>
  <c r="D116" i="19" s="1"/>
  <c r="D106" i="19"/>
  <c r="D56" i="8"/>
  <c r="D171" i="7"/>
  <c r="D177" i="7"/>
  <c r="C115" i="8"/>
  <c r="C117" i="8"/>
  <c r="D25" i="12"/>
  <c r="D171" i="17"/>
  <c r="C116" i="8"/>
  <c r="C111" i="8"/>
  <c r="C166" i="17"/>
  <c r="D172" i="17"/>
  <c r="C167" i="17"/>
  <c r="C179" i="7"/>
  <c r="C176" i="7"/>
  <c r="C86" i="19"/>
  <c r="C108" i="19"/>
  <c r="C82" i="19"/>
  <c r="C139" i="7"/>
  <c r="C145" i="7"/>
  <c r="C98" i="7"/>
  <c r="C23" i="7"/>
  <c r="C53" i="7"/>
  <c r="C170" i="19"/>
  <c r="G74" i="8"/>
  <c r="C177" i="17"/>
  <c r="C178" i="17" s="1"/>
  <c r="C343" i="19"/>
  <c r="C344" i="19" s="1"/>
  <c r="C16" i="12"/>
  <c r="C31" i="12"/>
  <c r="B42" i="8"/>
  <c r="C30" i="10"/>
  <c r="R21" i="22"/>
  <c r="C162" i="19"/>
  <c r="C25" i="10"/>
  <c r="AT20" i="22"/>
  <c r="C157" i="19"/>
  <c r="E178" i="7"/>
  <c r="E175" i="7"/>
  <c r="E78" i="8"/>
  <c r="E101" i="19"/>
  <c r="E112" i="19"/>
  <c r="E38" i="7"/>
  <c r="E105" i="7" s="1"/>
  <c r="E97" i="7"/>
  <c r="E142" i="7"/>
  <c r="F130" i="17"/>
  <c r="E41" i="7"/>
  <c r="E20" i="17"/>
  <c r="E17" i="17"/>
  <c r="D83" i="8"/>
  <c r="D94" i="8"/>
  <c r="B13" i="3" l="1"/>
  <c r="B15" i="3" s="1"/>
  <c r="B10" i="9"/>
  <c r="G195" i="7"/>
  <c r="G33" i="7"/>
  <c r="G391" i="19"/>
  <c r="F15" i="21"/>
  <c r="G7" i="14"/>
  <c r="G199" i="7"/>
  <c r="G198" i="7"/>
  <c r="G30" i="19"/>
  <c r="G27" i="19"/>
  <c r="G36" i="7"/>
  <c r="G126" i="17"/>
  <c r="F261" i="19"/>
  <c r="F138" i="7"/>
  <c r="H33" i="7"/>
  <c r="B40" i="9"/>
  <c r="B33" i="9"/>
  <c r="I22" i="4"/>
  <c r="G11" i="21"/>
  <c r="I24" i="4"/>
  <c r="H385" i="19"/>
  <c r="H387" i="19" s="1"/>
  <c r="H24" i="4"/>
  <c r="G13" i="21" s="1"/>
  <c r="H7" i="14"/>
  <c r="I7" i="14"/>
  <c r="H391" i="19"/>
  <c r="G15" i="21"/>
  <c r="I28" i="4"/>
  <c r="F264" i="19"/>
  <c r="H36" i="7"/>
  <c r="F141" i="7"/>
  <c r="G129" i="17"/>
  <c r="E24" i="7"/>
  <c r="E171" i="19"/>
  <c r="E54" i="7"/>
  <c r="F134" i="17"/>
  <c r="F131" i="17"/>
  <c r="E94" i="8"/>
  <c r="E83" i="8"/>
  <c r="C61" i="10"/>
  <c r="C44" i="17"/>
  <c r="C83" i="17"/>
  <c r="C97" i="17"/>
  <c r="C48" i="17"/>
  <c r="C52" i="17"/>
  <c r="C111" i="17"/>
  <c r="C144" i="7"/>
  <c r="C147" i="7"/>
  <c r="C114" i="19"/>
  <c r="C103" i="19"/>
  <c r="C118" i="19"/>
  <c r="C63" i="19"/>
  <c r="C134" i="19"/>
  <c r="C132" i="19"/>
  <c r="C140" i="19"/>
  <c r="C133" i="19"/>
  <c r="D173" i="17"/>
  <c r="C127" i="8"/>
  <c r="C312" i="19"/>
  <c r="D176" i="7"/>
  <c r="D179" i="7"/>
  <c r="D21" i="17"/>
  <c r="D18" i="17"/>
  <c r="D268" i="19"/>
  <c r="D17" i="8" s="1"/>
  <c r="D262" i="19"/>
  <c r="D39" i="7"/>
  <c r="D8" i="7"/>
  <c r="D42" i="7"/>
  <c r="D104" i="7"/>
  <c r="G6" i="19"/>
  <c r="G65" i="7"/>
  <c r="P17" i="22"/>
  <c r="C317" i="19"/>
  <c r="C316" i="19"/>
  <c r="D95" i="8"/>
  <c r="D84" i="8"/>
  <c r="D80" i="8"/>
  <c r="F200" i="7"/>
  <c r="G130" i="17"/>
  <c r="F142" i="7"/>
  <c r="F265" i="19"/>
  <c r="F41" i="7"/>
  <c r="F97" i="7"/>
  <c r="F38" i="7"/>
  <c r="F105" i="7" s="1"/>
  <c r="F110" i="19"/>
  <c r="F76" i="8"/>
  <c r="F97" i="19"/>
  <c r="F99" i="19"/>
  <c r="F77" i="8"/>
  <c r="F111" i="19"/>
  <c r="F100" i="19"/>
  <c r="F178" i="7"/>
  <c r="F175" i="7"/>
  <c r="C303" i="19"/>
  <c r="C157" i="17"/>
  <c r="C99" i="8"/>
  <c r="C215" i="7"/>
  <c r="C218" i="7"/>
  <c r="D363" i="19"/>
  <c r="D49" i="7"/>
  <c r="D154" i="7" s="1"/>
  <c r="D20" i="8"/>
  <c r="G15" i="19"/>
  <c r="G12" i="19"/>
  <c r="G53" i="19"/>
  <c r="G96" i="19"/>
  <c r="G94" i="19"/>
  <c r="G174" i="7"/>
  <c r="G16" i="17"/>
  <c r="G37" i="7"/>
  <c r="H37" i="7" s="1"/>
  <c r="G95" i="19"/>
  <c r="G74" i="7"/>
  <c r="H74" i="7" s="1"/>
  <c r="G116" i="7"/>
  <c r="G71" i="7"/>
  <c r="H70" i="7"/>
  <c r="C108" i="9"/>
  <c r="C109" i="9"/>
  <c r="C107" i="9"/>
  <c r="B8" i="11"/>
  <c r="C98" i="8"/>
  <c r="H71" i="7"/>
  <c r="E82" i="8"/>
  <c r="E93" i="8"/>
  <c r="E98" i="19"/>
  <c r="E102" i="19"/>
  <c r="E113" i="19"/>
  <c r="C163" i="19"/>
  <c r="C60" i="10"/>
  <c r="C10" i="10"/>
  <c r="C43" i="17"/>
  <c r="C110" i="17"/>
  <c r="C112" i="17" s="1"/>
  <c r="C82" i="17"/>
  <c r="C84" i="17" s="1"/>
  <c r="C96" i="17"/>
  <c r="C98" i="17" s="1"/>
  <c r="C31" i="10"/>
  <c r="C47" i="17"/>
  <c r="C49" i="17" s="1"/>
  <c r="C80" i="9" s="1"/>
  <c r="C51" i="17"/>
  <c r="C53" i="17" s="1"/>
  <c r="C81" i="9" s="1"/>
  <c r="C13" i="7"/>
  <c r="C106" i="7"/>
  <c r="C55" i="7"/>
  <c r="D132" i="17"/>
  <c r="D12" i="12" s="1"/>
  <c r="D135" i="17"/>
  <c r="C64" i="8"/>
  <c r="C90" i="8"/>
  <c r="C68" i="8"/>
  <c r="D210" i="7"/>
  <c r="D55" i="19"/>
  <c r="D58" i="19"/>
  <c r="D65" i="8"/>
  <c r="D97" i="8" s="1"/>
  <c r="D87" i="8"/>
  <c r="D58" i="8"/>
  <c r="D86" i="19"/>
  <c r="D82" i="19"/>
  <c r="D108" i="19"/>
  <c r="E34" i="7"/>
  <c r="E96" i="7"/>
  <c r="E137" i="7"/>
  <c r="F125" i="17"/>
  <c r="E40" i="7"/>
  <c r="E19" i="17"/>
  <c r="E13" i="17"/>
  <c r="E202" i="7"/>
  <c r="E81" i="7"/>
  <c r="E57" i="8"/>
  <c r="E85" i="19"/>
  <c r="E117" i="19" s="1"/>
  <c r="E107" i="19"/>
  <c r="E171" i="7"/>
  <c r="E177" i="7"/>
  <c r="C267" i="19"/>
  <c r="C270" i="19"/>
  <c r="E269" i="19"/>
  <c r="E21" i="8" s="1"/>
  <c r="E39" i="8" s="1"/>
  <c r="E266" i="19"/>
  <c r="E143" i="7"/>
  <c r="E146" i="7"/>
  <c r="C159" i="19"/>
  <c r="C165" i="19"/>
  <c r="C33" i="10"/>
  <c r="C78" i="10" s="1"/>
  <c r="C9" i="10"/>
  <c r="C26" i="17"/>
  <c r="C78" i="17"/>
  <c r="C92" i="17"/>
  <c r="C27" i="10"/>
  <c r="C56" i="10"/>
  <c r="C34" i="17"/>
  <c r="C30" i="17"/>
  <c r="C106" i="17"/>
  <c r="C119" i="17"/>
  <c r="C121" i="17" s="1"/>
  <c r="C253" i="19" s="1"/>
  <c r="D5" i="17"/>
  <c r="D7" i="17" s="1"/>
  <c r="C172" i="19"/>
  <c r="C6" i="3"/>
  <c r="C16" i="8"/>
  <c r="C48" i="7"/>
  <c r="C153" i="7" s="1"/>
  <c r="C25" i="7"/>
  <c r="C362" i="19"/>
  <c r="C168" i="17"/>
  <c r="C356" i="19" s="1"/>
  <c r="C359" i="19" s="1"/>
  <c r="B353" i="19" s="1"/>
  <c r="C350" i="19" s="1"/>
  <c r="C311" i="19"/>
  <c r="C321" i="19" s="1"/>
  <c r="C126" i="8"/>
  <c r="D33" i="12"/>
  <c r="D24" i="12"/>
  <c r="C118" i="8"/>
  <c r="C310" i="19"/>
  <c r="C125" i="8"/>
  <c r="D66" i="8"/>
  <c r="D98" i="8" s="1"/>
  <c r="D88" i="8"/>
  <c r="D145" i="7"/>
  <c r="D139" i="7"/>
  <c r="E127" i="17"/>
  <c r="E133" i="17"/>
  <c r="D53" i="7"/>
  <c r="D23" i="7"/>
  <c r="D170" i="19"/>
  <c r="F67" i="7"/>
  <c r="F115" i="7"/>
  <c r="F117" i="7" s="1"/>
  <c r="F11" i="17"/>
  <c r="F74" i="19"/>
  <c r="F75" i="19"/>
  <c r="F73" i="7"/>
  <c r="F169" i="7"/>
  <c r="F48" i="19"/>
  <c r="F32" i="7"/>
  <c r="F73" i="19"/>
  <c r="F14" i="19"/>
  <c r="F8" i="19"/>
  <c r="C315" i="19"/>
  <c r="C318" i="19" s="1"/>
  <c r="C123" i="8"/>
  <c r="D28" i="12"/>
  <c r="D269" i="19"/>
  <c r="D21" i="8" s="1"/>
  <c r="D266" i="19"/>
  <c r="H116" i="7"/>
  <c r="F82" i="7"/>
  <c r="F203" i="7"/>
  <c r="F20" i="17"/>
  <c r="F17" i="17"/>
  <c r="F78" i="8"/>
  <c r="F112" i="19"/>
  <c r="F101" i="19"/>
  <c r="F57" i="19"/>
  <c r="F54" i="19"/>
  <c r="H213" i="7"/>
  <c r="H74" i="8"/>
  <c r="D120" i="17"/>
  <c r="E6" i="17"/>
  <c r="C97" i="9"/>
  <c r="C92" i="9"/>
  <c r="C95" i="9"/>
  <c r="H200" i="7"/>
  <c r="E79" i="8"/>
  <c r="E81" i="8"/>
  <c r="E92" i="8"/>
  <c r="C34" i="10"/>
  <c r="C79" i="10" s="1"/>
  <c r="C57" i="10"/>
  <c r="C35" i="17"/>
  <c r="C69" i="17" s="1"/>
  <c r="C93" i="17"/>
  <c r="C101" i="17" s="1"/>
  <c r="C107" i="17"/>
  <c r="C115" i="17" s="1"/>
  <c r="C79" i="17"/>
  <c r="C87" i="17" s="1"/>
  <c r="C31" i="17"/>
  <c r="C65" i="17" s="1"/>
  <c r="C27" i="17"/>
  <c r="C166" i="19"/>
  <c r="B22" i="11"/>
  <c r="C97" i="8"/>
  <c r="D109" i="8"/>
  <c r="D201" i="7"/>
  <c r="D190" i="7"/>
  <c r="D83" i="7"/>
  <c r="D204" i="7"/>
  <c r="D67" i="8"/>
  <c r="D99" i="8" s="1"/>
  <c r="D89" i="8"/>
  <c r="H194" i="7"/>
  <c r="E56" i="8"/>
  <c r="E84" i="19"/>
  <c r="E116" i="19" s="1"/>
  <c r="E106" i="19"/>
  <c r="E117" i="7"/>
  <c r="E83" i="19"/>
  <c r="E115" i="19" s="1"/>
  <c r="E105" i="19"/>
  <c r="E55" i="8"/>
  <c r="E76" i="19"/>
  <c r="E260" i="19" s="1"/>
  <c r="E50" i="19"/>
  <c r="E56" i="19"/>
  <c r="E75" i="7"/>
  <c r="E72" i="7"/>
  <c r="E196" i="7"/>
  <c r="E13" i="19"/>
  <c r="E16" i="19"/>
  <c r="C10" i="3"/>
  <c r="C25" i="8"/>
  <c r="C7" i="8"/>
  <c r="C36" i="8"/>
  <c r="G141" i="7" l="1"/>
  <c r="H141" i="7" s="1"/>
  <c r="G264" i="19"/>
  <c r="H129" i="17"/>
  <c r="H126" i="17"/>
  <c r="G138" i="7"/>
  <c r="G261" i="19"/>
  <c r="H138" i="7"/>
  <c r="E262" i="19"/>
  <c r="E268" i="19"/>
  <c r="E17" i="8" s="1"/>
  <c r="C42" i="8"/>
  <c r="E216" i="7"/>
  <c r="D116" i="8"/>
  <c r="D115" i="8"/>
  <c r="D117" i="8"/>
  <c r="E25" i="12"/>
  <c r="B20" i="3"/>
  <c r="C39" i="17"/>
  <c r="C61" i="17"/>
  <c r="C87" i="10"/>
  <c r="C65" i="10"/>
  <c r="C43" i="10"/>
  <c r="E80" i="8"/>
  <c r="B64" i="18" s="1"/>
  <c r="E84" i="8"/>
  <c r="E95" i="8"/>
  <c r="F217" i="7"/>
  <c r="D144" i="19"/>
  <c r="D110" i="8"/>
  <c r="F96" i="7"/>
  <c r="F98" i="7" s="1"/>
  <c r="F34" i="7"/>
  <c r="F137" i="7"/>
  <c r="F40" i="7"/>
  <c r="G125" i="17"/>
  <c r="F171" i="7"/>
  <c r="F177" i="7"/>
  <c r="F107" i="19"/>
  <c r="F57" i="8"/>
  <c r="F85" i="19"/>
  <c r="F117" i="19" s="1"/>
  <c r="F19" i="17"/>
  <c r="F13" i="17"/>
  <c r="F72" i="7"/>
  <c r="F196" i="7"/>
  <c r="F75" i="7"/>
  <c r="D6" i="3"/>
  <c r="D48" i="7"/>
  <c r="D153" i="7" s="1"/>
  <c r="D16" i="8"/>
  <c r="D25" i="7"/>
  <c r="D362" i="19"/>
  <c r="D144" i="7"/>
  <c r="D147" i="7"/>
  <c r="C313" i="19"/>
  <c r="C320" i="19"/>
  <c r="C15" i="12"/>
  <c r="D7" i="3"/>
  <c r="C16" i="3"/>
  <c r="C8" i="6" s="1"/>
  <c r="C22" i="3"/>
  <c r="C9" i="6" s="1"/>
  <c r="C12" i="6"/>
  <c r="C14" i="6"/>
  <c r="D15" i="13"/>
  <c r="D17" i="13"/>
  <c r="C364" i="19"/>
  <c r="C11" i="3"/>
  <c r="C13" i="6"/>
  <c r="C7" i="6"/>
  <c r="D16" i="13"/>
  <c r="D18" i="13"/>
  <c r="F118" i="2"/>
  <c r="F117" i="2"/>
  <c r="C64" i="17"/>
  <c r="C32" i="17"/>
  <c r="C64" i="10"/>
  <c r="C58" i="10"/>
  <c r="C86" i="10"/>
  <c r="C42" i="10" s="1"/>
  <c r="C94" i="17"/>
  <c r="C100" i="17"/>
  <c r="C38" i="17"/>
  <c r="C60" i="17"/>
  <c r="C28" i="17"/>
  <c r="C164" i="19"/>
  <c r="C167" i="19"/>
  <c r="E176" i="7"/>
  <c r="E179" i="7"/>
  <c r="E21" i="17"/>
  <c r="E18" i="17"/>
  <c r="F133" i="17"/>
  <c r="F127" i="17"/>
  <c r="E98" i="7"/>
  <c r="C106" i="10"/>
  <c r="C417" i="19"/>
  <c r="C76" i="10"/>
  <c r="G77" i="8"/>
  <c r="G111" i="19"/>
  <c r="G100" i="19"/>
  <c r="G20" i="17"/>
  <c r="G17" i="17"/>
  <c r="G97" i="19"/>
  <c r="G76" i="8"/>
  <c r="G110" i="19"/>
  <c r="G99" i="19"/>
  <c r="G57" i="19"/>
  <c r="G217" i="7" s="1"/>
  <c r="G54" i="19"/>
  <c r="G214" i="7" s="1"/>
  <c r="F79" i="8"/>
  <c r="F92" i="8"/>
  <c r="F81" i="8"/>
  <c r="H76" i="8"/>
  <c r="F269" i="19"/>
  <c r="F21" i="8" s="1"/>
  <c r="F39" i="8" s="1"/>
  <c r="F266" i="19"/>
  <c r="G134" i="17"/>
  <c r="G131" i="17"/>
  <c r="G67" i="7"/>
  <c r="H188" i="7" s="1"/>
  <c r="G115" i="7"/>
  <c r="G48" i="19"/>
  <c r="G74" i="19"/>
  <c r="G73" i="19"/>
  <c r="G73" i="7"/>
  <c r="G202" i="7" s="1"/>
  <c r="G169" i="7"/>
  <c r="G11" i="17"/>
  <c r="G32" i="7"/>
  <c r="G75" i="19"/>
  <c r="D13" i="7"/>
  <c r="D106" i="7"/>
  <c r="D55" i="7"/>
  <c r="D267" i="19"/>
  <c r="D270" i="19"/>
  <c r="C47" i="10"/>
  <c r="C91" i="10"/>
  <c r="E120" i="17"/>
  <c r="F6" i="17"/>
  <c r="E82" i="19"/>
  <c r="E108" i="19"/>
  <c r="E86" i="19"/>
  <c r="E66" i="8"/>
  <c r="E98" i="8" s="1"/>
  <c r="E88" i="8"/>
  <c r="E83" i="7"/>
  <c r="E204" i="7"/>
  <c r="E201" i="7"/>
  <c r="E190" i="7"/>
  <c r="E58" i="19"/>
  <c r="E210" i="7"/>
  <c r="E55" i="19"/>
  <c r="E87" i="8"/>
  <c r="E65" i="8"/>
  <c r="E58" i="8"/>
  <c r="B25" i="11"/>
  <c r="C31" i="9"/>
  <c r="C96" i="9"/>
  <c r="C23" i="9"/>
  <c r="C98" i="9"/>
  <c r="F214" i="7"/>
  <c r="H214" i="7"/>
  <c r="F94" i="8"/>
  <c r="F83" i="8"/>
  <c r="D39" i="8"/>
  <c r="D27" i="12"/>
  <c r="F16" i="19"/>
  <c r="F13" i="19"/>
  <c r="F76" i="19"/>
  <c r="F105" i="19"/>
  <c r="F55" i="8"/>
  <c r="F83" i="19"/>
  <c r="F115" i="19" s="1"/>
  <c r="F56" i="19"/>
  <c r="F216" i="7" s="1"/>
  <c r="F50" i="19"/>
  <c r="F202" i="7"/>
  <c r="F81" i="7"/>
  <c r="F56" i="8"/>
  <c r="F84" i="19"/>
  <c r="F116" i="19" s="1"/>
  <c r="F106" i="19"/>
  <c r="D119" i="17"/>
  <c r="D121" i="17" s="1"/>
  <c r="D253" i="19" s="1"/>
  <c r="E5" i="17"/>
  <c r="E7" i="17" s="1"/>
  <c r="D172" i="19"/>
  <c r="E132" i="17"/>
  <c r="E12" i="12" s="1"/>
  <c r="E135" i="17"/>
  <c r="C124" i="8"/>
  <c r="D23" i="12"/>
  <c r="C128" i="8"/>
  <c r="D32" i="12"/>
  <c r="D143" i="19"/>
  <c r="D145" i="19" s="1"/>
  <c r="E24" i="12"/>
  <c r="C50" i="7"/>
  <c r="C155" i="7"/>
  <c r="C24" i="8"/>
  <c r="C18" i="8"/>
  <c r="C37" i="8" s="1"/>
  <c r="C6" i="8"/>
  <c r="F75" i="2"/>
  <c r="F76" i="2"/>
  <c r="F73" i="2"/>
  <c r="F74" i="2"/>
  <c r="C114" i="17"/>
  <c r="C108" i="17"/>
  <c r="C36" i="17"/>
  <c r="C68" i="17"/>
  <c r="C32" i="10"/>
  <c r="C35" i="10"/>
  <c r="C80" i="17"/>
  <c r="C86" i="17"/>
  <c r="C11" i="10"/>
  <c r="C416" i="19"/>
  <c r="C72" i="10"/>
  <c r="E89" i="8"/>
  <c r="E67" i="8"/>
  <c r="E99" i="8" s="1"/>
  <c r="H73" i="7"/>
  <c r="E23" i="7"/>
  <c r="E53" i="7"/>
  <c r="E170" i="19"/>
  <c r="E145" i="7"/>
  <c r="E139" i="7"/>
  <c r="E39" i="7"/>
  <c r="E8" i="7"/>
  <c r="E104" i="7"/>
  <c r="E42" i="7"/>
  <c r="D114" i="19"/>
  <c r="D103" i="19"/>
  <c r="D118" i="19"/>
  <c r="D68" i="8"/>
  <c r="D64" i="8"/>
  <c r="D90" i="8"/>
  <c r="D215" i="7"/>
  <c r="D218" i="7"/>
  <c r="C9" i="3"/>
  <c r="C96" i="8"/>
  <c r="C68" i="19"/>
  <c r="C85" i="8"/>
  <c r="C100" i="8"/>
  <c r="A56" i="18"/>
  <c r="A57" i="18" s="1"/>
  <c r="D256" i="19"/>
  <c r="C336" i="19" s="1"/>
  <c r="C20" i="5" s="1"/>
  <c r="D9" i="4"/>
  <c r="C10" i="11"/>
  <c r="C107" i="10"/>
  <c r="C56" i="9"/>
  <c r="C45" i="17"/>
  <c r="C55" i="17"/>
  <c r="C62" i="10"/>
  <c r="C90" i="10"/>
  <c r="C46" i="10" s="1"/>
  <c r="G200" i="7"/>
  <c r="H189" i="7"/>
  <c r="G203" i="7"/>
  <c r="H203" i="7"/>
  <c r="G142" i="7"/>
  <c r="H130" i="17"/>
  <c r="G41" i="7"/>
  <c r="G265" i="19"/>
  <c r="G97" i="7"/>
  <c r="H97" i="7" s="1"/>
  <c r="G38" i="7"/>
  <c r="H38" i="7" s="1"/>
  <c r="G178" i="7"/>
  <c r="H178" i="7" s="1"/>
  <c r="G175" i="7"/>
  <c r="H174" i="7"/>
  <c r="G78" i="8"/>
  <c r="G112" i="19"/>
  <c r="G101" i="19"/>
  <c r="D22" i="8"/>
  <c r="D40" i="8" s="1"/>
  <c r="H175" i="7"/>
  <c r="F93" i="8"/>
  <c r="F82" i="8"/>
  <c r="H77" i="8"/>
  <c r="F113" i="19"/>
  <c r="F102" i="19"/>
  <c r="F98" i="19"/>
  <c r="F54" i="7"/>
  <c r="F171" i="19"/>
  <c r="F24" i="7"/>
  <c r="F146" i="7"/>
  <c r="F143" i="7"/>
  <c r="B60" i="18"/>
  <c r="G8" i="19"/>
  <c r="G14" i="19"/>
  <c r="D10" i="3"/>
  <c r="D36" i="8"/>
  <c r="D42" i="8" s="1"/>
  <c r="D25" i="8"/>
  <c r="D7" i="8"/>
  <c r="C322" i="19"/>
  <c r="C131" i="19"/>
  <c r="C135" i="19"/>
  <c r="C56" i="17"/>
  <c r="E49" i="7"/>
  <c r="E154" i="7" s="1"/>
  <c r="E20" i="8"/>
  <c r="E22" i="8" s="1"/>
  <c r="E40" i="8" s="1"/>
  <c r="E363" i="19"/>
  <c r="H65" i="7"/>
  <c r="F363" i="19" l="1"/>
  <c r="F49" i="7"/>
  <c r="F154" i="7" s="1"/>
  <c r="F20" i="8"/>
  <c r="F22" i="8" s="1"/>
  <c r="F40" i="8" s="1"/>
  <c r="G24" i="7"/>
  <c r="G20" i="8" s="1"/>
  <c r="G22" i="8" s="1"/>
  <c r="G40" i="8" s="1"/>
  <c r="G171" i="19"/>
  <c r="H41" i="7"/>
  <c r="G146" i="7"/>
  <c r="H146" i="7" s="1"/>
  <c r="G143" i="7"/>
  <c r="H143" i="7" s="1"/>
  <c r="H142" i="7"/>
  <c r="C92" i="10"/>
  <c r="C30" i="9"/>
  <c r="D369" i="19"/>
  <c r="C2" i="21"/>
  <c r="E13" i="7"/>
  <c r="E106" i="7"/>
  <c r="E55" i="7"/>
  <c r="E172" i="19"/>
  <c r="E119" i="17"/>
  <c r="E121" i="17" s="1"/>
  <c r="E253" i="19" s="1"/>
  <c r="F5" i="17"/>
  <c r="F7" i="17" s="1"/>
  <c r="E6" i="3"/>
  <c r="E48" i="7"/>
  <c r="E153" i="7" s="1"/>
  <c r="E16" i="8"/>
  <c r="E25" i="7"/>
  <c r="E362" i="19"/>
  <c r="C113" i="17"/>
  <c r="C116" i="17"/>
  <c r="D26" i="10"/>
  <c r="D158" i="19"/>
  <c r="BH20" i="22"/>
  <c r="D30" i="10"/>
  <c r="T21" i="22"/>
  <c r="D162" i="19"/>
  <c r="D31" i="12"/>
  <c r="D176" i="17"/>
  <c r="D342" i="19"/>
  <c r="D16" i="12"/>
  <c r="E9" i="4"/>
  <c r="D10" i="11"/>
  <c r="E256" i="19"/>
  <c r="D336" i="19" s="1"/>
  <c r="D20" i="5" s="1"/>
  <c r="F66" i="8"/>
  <c r="F88" i="8"/>
  <c r="F87" i="8"/>
  <c r="F65" i="8"/>
  <c r="F97" i="8" s="1"/>
  <c r="F58" i="8"/>
  <c r="F86" i="19"/>
  <c r="F82" i="19"/>
  <c r="F108" i="19"/>
  <c r="C39" i="9"/>
  <c r="E64" i="8"/>
  <c r="E90" i="8"/>
  <c r="E68" i="8"/>
  <c r="E215" i="7"/>
  <c r="E218" i="7"/>
  <c r="G85" i="19"/>
  <c r="G117" i="19" s="1"/>
  <c r="G107" i="19"/>
  <c r="G57" i="8"/>
  <c r="G19" i="17"/>
  <c r="G13" i="17"/>
  <c r="G56" i="8"/>
  <c r="G84" i="19"/>
  <c r="G116" i="19" s="1"/>
  <c r="G106" i="19"/>
  <c r="G117" i="7"/>
  <c r="H117" i="7" s="1"/>
  <c r="H115" i="7"/>
  <c r="F95" i="8"/>
  <c r="F80" i="8"/>
  <c r="F84" i="8"/>
  <c r="G113" i="19"/>
  <c r="G102" i="19"/>
  <c r="G98" i="19"/>
  <c r="C74" i="9"/>
  <c r="C40" i="17"/>
  <c r="C37" i="17"/>
  <c r="C62" i="17"/>
  <c r="C72" i="17"/>
  <c r="C99" i="17"/>
  <c r="C102" i="17"/>
  <c r="C88" i="10"/>
  <c r="C94" i="10"/>
  <c r="C63" i="10"/>
  <c r="C66" i="10"/>
  <c r="C75" i="9"/>
  <c r="C66" i="17"/>
  <c r="D105" i="9"/>
  <c r="D94" i="9"/>
  <c r="G118" i="2"/>
  <c r="D106" i="9"/>
  <c r="AD24" i="22"/>
  <c r="D24" i="8"/>
  <c r="D26" i="8" s="1"/>
  <c r="D18" i="8"/>
  <c r="D37" i="8" s="1"/>
  <c r="D6" i="8"/>
  <c r="D11" i="3"/>
  <c r="D7" i="6"/>
  <c r="D12" i="6"/>
  <c r="E15" i="13"/>
  <c r="E17" i="13"/>
  <c r="D364" i="19"/>
  <c r="D16" i="3"/>
  <c r="D8" i="6" s="1"/>
  <c r="D22" i="3"/>
  <c r="D9" i="6" s="1"/>
  <c r="E7" i="3"/>
  <c r="D13" i="6"/>
  <c r="D14" i="6"/>
  <c r="E16" i="13"/>
  <c r="E18" i="13"/>
  <c r="F21" i="17"/>
  <c r="F18" i="17"/>
  <c r="F179" i="7"/>
  <c r="F176" i="7"/>
  <c r="F260" i="19"/>
  <c r="F53" i="7"/>
  <c r="F170" i="19"/>
  <c r="F23" i="7"/>
  <c r="F8" i="7"/>
  <c r="F39" i="7"/>
  <c r="F104" i="7"/>
  <c r="F42" i="7"/>
  <c r="D120" i="8"/>
  <c r="D121" i="8"/>
  <c r="D122" i="8"/>
  <c r="E29" i="12"/>
  <c r="C51" i="10"/>
  <c r="C95" i="10"/>
  <c r="C73" i="17"/>
  <c r="B114" i="9"/>
  <c r="B23" i="11"/>
  <c r="B21" i="3"/>
  <c r="D166" i="17"/>
  <c r="D127" i="8"/>
  <c r="D312" i="19"/>
  <c r="E171" i="17"/>
  <c r="D111" i="8"/>
  <c r="E267" i="19"/>
  <c r="E270" i="19"/>
  <c r="G13" i="19"/>
  <c r="G16" i="19"/>
  <c r="G6" i="17"/>
  <c r="F120" i="17"/>
  <c r="H22" i="8"/>
  <c r="H40" i="8"/>
  <c r="G94" i="8"/>
  <c r="G83" i="8"/>
  <c r="H83" i="8" s="1"/>
  <c r="G269" i="19"/>
  <c r="G21" i="8" s="1"/>
  <c r="G266" i="19"/>
  <c r="H134" i="17"/>
  <c r="H131" i="17"/>
  <c r="C48" i="10"/>
  <c r="C15" i="10"/>
  <c r="C79" i="9"/>
  <c r="C57" i="17"/>
  <c r="C54" i="17"/>
  <c r="D96" i="8"/>
  <c r="D85" i="8"/>
  <c r="D9" i="3"/>
  <c r="D100" i="8"/>
  <c r="A60" i="18"/>
  <c r="A61" i="18" s="1"/>
  <c r="D68" i="19"/>
  <c r="E147" i="7"/>
  <c r="E144" i="7"/>
  <c r="C23" i="6"/>
  <c r="C80" i="10"/>
  <c r="C206" i="19"/>
  <c r="C204" i="19"/>
  <c r="C418" i="19"/>
  <c r="C77" i="10"/>
  <c r="C207" i="19"/>
  <c r="C205" i="19"/>
  <c r="C208" i="19"/>
  <c r="C55" i="9"/>
  <c r="C85" i="17"/>
  <c r="C88" i="17"/>
  <c r="C70" i="17"/>
  <c r="C76" i="9"/>
  <c r="D157" i="19"/>
  <c r="D25" i="10"/>
  <c r="AV20" i="22"/>
  <c r="D161" i="19"/>
  <c r="D163" i="19" s="1"/>
  <c r="H21" i="22"/>
  <c r="D29" i="10"/>
  <c r="C43" i="8"/>
  <c r="C8" i="8"/>
  <c r="C26" i="8"/>
  <c r="E143" i="19"/>
  <c r="E109" i="8"/>
  <c r="G76" i="2"/>
  <c r="G75" i="2"/>
  <c r="G73" i="2"/>
  <c r="G74" i="2"/>
  <c r="F55" i="19"/>
  <c r="F210" i="7"/>
  <c r="F58" i="19"/>
  <c r="D177" i="17"/>
  <c r="D343" i="19"/>
  <c r="H78" i="8"/>
  <c r="H94" i="8"/>
  <c r="C297" i="19"/>
  <c r="E97" i="8"/>
  <c r="E114" i="19"/>
  <c r="E103" i="19"/>
  <c r="E118" i="19"/>
  <c r="G34" i="7"/>
  <c r="G137" i="7"/>
  <c r="G96" i="7"/>
  <c r="G40" i="7"/>
  <c r="H125" i="17"/>
  <c r="G171" i="7"/>
  <c r="G177" i="7"/>
  <c r="H177" i="7" s="1"/>
  <c r="H169" i="7"/>
  <c r="G83" i="19"/>
  <c r="G115" i="19" s="1"/>
  <c r="G76" i="19"/>
  <c r="G260" i="19" s="1"/>
  <c r="G55" i="8"/>
  <c r="G105" i="19"/>
  <c r="G50" i="19"/>
  <c r="H210" i="7" s="1"/>
  <c r="G56" i="19"/>
  <c r="G216" i="7" s="1"/>
  <c r="H208" i="7"/>
  <c r="G196" i="7"/>
  <c r="G72" i="7"/>
  <c r="G75" i="7"/>
  <c r="G79" i="8"/>
  <c r="G92" i="8"/>
  <c r="H92" i="8" s="1"/>
  <c r="G81" i="8"/>
  <c r="H81" i="8" s="1"/>
  <c r="G93" i="8"/>
  <c r="H93" i="8" s="1"/>
  <c r="G82" i="8"/>
  <c r="H82" i="8" s="1"/>
  <c r="F132" i="17"/>
  <c r="F12" i="12" s="1"/>
  <c r="F135" i="17"/>
  <c r="C50" i="10"/>
  <c r="C44" i="10"/>
  <c r="C14" i="10"/>
  <c r="G117" i="2"/>
  <c r="D102" i="9"/>
  <c r="D103" i="9"/>
  <c r="D91" i="9"/>
  <c r="R24" i="22"/>
  <c r="C181" i="17"/>
  <c r="C20" i="12"/>
  <c r="C347" i="19"/>
  <c r="B339" i="19" s="1"/>
  <c r="B21" i="5" s="1"/>
  <c r="C10" i="4"/>
  <c r="C319" i="19"/>
  <c r="C323" i="19"/>
  <c r="D50" i="7"/>
  <c r="D155" i="7"/>
  <c r="H196" i="7"/>
  <c r="H67" i="7"/>
  <c r="F190" i="7"/>
  <c r="F204" i="7"/>
  <c r="F83" i="7"/>
  <c r="F201" i="7"/>
  <c r="F89" i="8"/>
  <c r="F67" i="8"/>
  <c r="F99" i="8" s="1"/>
  <c r="H32" i="7"/>
  <c r="G133" i="17"/>
  <c r="G127" i="17"/>
  <c r="F139" i="7"/>
  <c r="F145" i="7"/>
  <c r="H217" i="7"/>
  <c r="E172" i="17"/>
  <c r="E33" i="12"/>
  <c r="D125" i="8"/>
  <c r="D118" i="8"/>
  <c r="D310" i="19"/>
  <c r="D167" i="17"/>
  <c r="D126" i="8"/>
  <c r="D311" i="19"/>
  <c r="H202" i="7"/>
  <c r="E7" i="8"/>
  <c r="E36" i="8"/>
  <c r="E42" i="8" s="1"/>
  <c r="E10" i="3"/>
  <c r="E25" i="8"/>
  <c r="H24" i="7" l="1"/>
  <c r="H20" i="8"/>
  <c r="F147" i="7"/>
  <c r="F144" i="7"/>
  <c r="B3" i="21"/>
  <c r="C370" i="19"/>
  <c r="D107" i="9"/>
  <c r="D109" i="9"/>
  <c r="H117" i="2"/>
  <c r="E102" i="9"/>
  <c r="T24" i="22"/>
  <c r="E91" i="9"/>
  <c r="E103" i="9"/>
  <c r="C49" i="10"/>
  <c r="C52" i="10"/>
  <c r="F256" i="19"/>
  <c r="E336" i="19" s="1"/>
  <c r="E20" i="5" s="1"/>
  <c r="F9" i="4"/>
  <c r="E10" i="11"/>
  <c r="G95" i="8"/>
  <c r="G80" i="8"/>
  <c r="B72" i="18" s="1"/>
  <c r="G84" i="8"/>
  <c r="H79" i="8"/>
  <c r="G86" i="19"/>
  <c r="G82" i="19"/>
  <c r="G108" i="19"/>
  <c r="G176" i="7"/>
  <c r="G179" i="7"/>
  <c r="H171" i="7"/>
  <c r="H127" i="17"/>
  <c r="H133" i="17"/>
  <c r="G98" i="7"/>
  <c r="H98" i="7" s="1"/>
  <c r="H96" i="7"/>
  <c r="G42" i="7"/>
  <c r="G8" i="7"/>
  <c r="G39" i="7"/>
  <c r="F218" i="7"/>
  <c r="F215" i="7"/>
  <c r="E25" i="10"/>
  <c r="AX20" i="22"/>
  <c r="E157" i="19"/>
  <c r="E30" i="10"/>
  <c r="V21" i="22"/>
  <c r="E162" i="19"/>
  <c r="D31" i="10"/>
  <c r="D43" i="17"/>
  <c r="D47" i="17"/>
  <c r="D96" i="17"/>
  <c r="D110" i="17"/>
  <c r="D60" i="10"/>
  <c r="D10" i="10"/>
  <c r="D51" i="17"/>
  <c r="D82" i="17"/>
  <c r="D27" i="10"/>
  <c r="D26" i="17"/>
  <c r="D92" i="17"/>
  <c r="D78" i="17"/>
  <c r="D56" i="10"/>
  <c r="D33" i="10"/>
  <c r="D78" i="10" s="1"/>
  <c r="D9" i="10"/>
  <c r="D34" i="17"/>
  <c r="D30" i="17"/>
  <c r="D106" i="17"/>
  <c r="C102" i="10"/>
  <c r="C86" i="9"/>
  <c r="C22" i="9"/>
  <c r="C57" i="9"/>
  <c r="D63" i="19"/>
  <c r="D134" i="19"/>
  <c r="D132" i="19"/>
  <c r="D140" i="19"/>
  <c r="D133" i="19"/>
  <c r="B9" i="5"/>
  <c r="C399" i="19"/>
  <c r="E28" i="12"/>
  <c r="D316" i="19"/>
  <c r="F25" i="7"/>
  <c r="F362" i="19"/>
  <c r="F6" i="3"/>
  <c r="F48" i="7"/>
  <c r="F153" i="7" s="1"/>
  <c r="F16" i="8"/>
  <c r="H118" i="2"/>
  <c r="E106" i="9"/>
  <c r="AF24" i="22"/>
  <c r="E105" i="9"/>
  <c r="E94" i="9"/>
  <c r="E95" i="9" s="1"/>
  <c r="E31" i="9" s="1"/>
  <c r="C85" i="9"/>
  <c r="C101" i="10"/>
  <c r="C93" i="10"/>
  <c r="C96" i="10"/>
  <c r="B68" i="18"/>
  <c r="H80" i="8"/>
  <c r="H84" i="8"/>
  <c r="G88" i="8"/>
  <c r="H88" i="8" s="1"/>
  <c r="G66" i="8"/>
  <c r="G98" i="8" s="1"/>
  <c r="E96" i="8"/>
  <c r="E85" i="8"/>
  <c r="E9" i="3"/>
  <c r="E100" i="8"/>
  <c r="A64" i="18"/>
  <c r="A65" i="18" s="1"/>
  <c r="E68" i="19"/>
  <c r="D344" i="19"/>
  <c r="D57" i="10"/>
  <c r="D35" i="17"/>
  <c r="D31" i="17"/>
  <c r="D93" i="17"/>
  <c r="D34" i="10"/>
  <c r="D79" i="10" s="1"/>
  <c r="D27" i="17"/>
  <c r="D79" i="17"/>
  <c r="D107" i="17"/>
  <c r="E50" i="7"/>
  <c r="E155" i="7"/>
  <c r="H75" i="2"/>
  <c r="H76" i="2"/>
  <c r="H73" i="2"/>
  <c r="H74" i="2"/>
  <c r="D321" i="19"/>
  <c r="D313" i="19"/>
  <c r="G132" i="17"/>
  <c r="G12" i="12" s="1"/>
  <c r="G135" i="17"/>
  <c r="B25" i="5"/>
  <c r="D97" i="9"/>
  <c r="D92" i="9"/>
  <c r="D108" i="9"/>
  <c r="C16" i="10"/>
  <c r="C18" i="9"/>
  <c r="G201" i="7"/>
  <c r="G190" i="7"/>
  <c r="G204" i="7"/>
  <c r="H204" i="7"/>
  <c r="H190" i="7"/>
  <c r="H201" i="7"/>
  <c r="H72" i="7"/>
  <c r="H75" i="7"/>
  <c r="G55" i="19"/>
  <c r="H215" i="7" s="1"/>
  <c r="G210" i="7"/>
  <c r="G58" i="19"/>
  <c r="G65" i="8"/>
  <c r="G58" i="8"/>
  <c r="G87" i="8"/>
  <c r="H87" i="8" s="1"/>
  <c r="G262" i="19"/>
  <c r="G268" i="19"/>
  <c r="G17" i="8" s="1"/>
  <c r="G170" i="19"/>
  <c r="G23" i="7"/>
  <c r="H40" i="7"/>
  <c r="G139" i="7"/>
  <c r="G145" i="7"/>
  <c r="H145" i="7" s="1"/>
  <c r="H137" i="7"/>
  <c r="H55" i="8"/>
  <c r="E158" i="19"/>
  <c r="E166" i="19" s="1"/>
  <c r="E26" i="10"/>
  <c r="BJ20" i="22"/>
  <c r="E29" i="10"/>
  <c r="E161" i="19"/>
  <c r="E163" i="19" s="1"/>
  <c r="J21" i="22"/>
  <c r="E116" i="8"/>
  <c r="F25" i="12"/>
  <c r="E115" i="8"/>
  <c r="E117" i="8"/>
  <c r="D165" i="19"/>
  <c r="D159" i="19"/>
  <c r="C82" i="9"/>
  <c r="C105" i="10"/>
  <c r="C26" i="9"/>
  <c r="G39" i="8"/>
  <c r="H39" i="8" s="1"/>
  <c r="H21" i="8"/>
  <c r="H34" i="7"/>
  <c r="H216" i="7"/>
  <c r="E173" i="17"/>
  <c r="D168" i="17"/>
  <c r="D356" i="19" s="1"/>
  <c r="D359" i="19" s="1"/>
  <c r="C353" i="19" s="1"/>
  <c r="D350" i="19" s="1"/>
  <c r="C11" i="13"/>
  <c r="B115" i="9"/>
  <c r="D317" i="19"/>
  <c r="D322" i="19" s="1"/>
  <c r="D123" i="8"/>
  <c r="D128" i="8" s="1"/>
  <c r="D315" i="19"/>
  <c r="F55" i="7"/>
  <c r="F13" i="7"/>
  <c r="F106" i="7"/>
  <c r="F119" i="17"/>
  <c r="F121" i="17" s="1"/>
  <c r="F253" i="19" s="1"/>
  <c r="G5" i="17"/>
  <c r="G7" i="17" s="1"/>
  <c r="F172" i="19"/>
  <c r="F262" i="19"/>
  <c r="F268" i="19"/>
  <c r="F17" i="8" s="1"/>
  <c r="D8" i="8"/>
  <c r="D43" i="8"/>
  <c r="D95" i="9"/>
  <c r="C58" i="17"/>
  <c r="C74" i="17"/>
  <c r="C71" i="17"/>
  <c r="C84" i="9"/>
  <c r="C77" i="9"/>
  <c r="C100" i="10"/>
  <c r="H95" i="8"/>
  <c r="G21" i="17"/>
  <c r="G18" i="17"/>
  <c r="G67" i="8"/>
  <c r="G99" i="8" s="1"/>
  <c r="H99" i="8" s="1"/>
  <c r="G89" i="8"/>
  <c r="H89" i="8" s="1"/>
  <c r="H57" i="8"/>
  <c r="H56" i="8"/>
  <c r="F114" i="19"/>
  <c r="F103" i="19"/>
  <c r="F118" i="19"/>
  <c r="F68" i="8"/>
  <c r="F64" i="8"/>
  <c r="F90" i="8"/>
  <c r="F98" i="8"/>
  <c r="H66" i="8"/>
  <c r="E369" i="19"/>
  <c r="D2" i="21"/>
  <c r="E23" i="12"/>
  <c r="D178" i="17"/>
  <c r="D61" i="10"/>
  <c r="D44" i="17"/>
  <c r="D83" i="17"/>
  <c r="D97" i="17"/>
  <c r="D48" i="17"/>
  <c r="D52" i="17"/>
  <c r="D111" i="17"/>
  <c r="D166" i="19"/>
  <c r="E24" i="8"/>
  <c r="E18" i="8"/>
  <c r="E37" i="8" s="1"/>
  <c r="E6" i="8"/>
  <c r="E16" i="3"/>
  <c r="E8" i="6" s="1"/>
  <c r="E22" i="3"/>
  <c r="E9" i="6" s="1"/>
  <c r="F7" i="3"/>
  <c r="E12" i="6"/>
  <c r="E14" i="6"/>
  <c r="F16" i="13"/>
  <c r="F18" i="13"/>
  <c r="E11" i="3"/>
  <c r="E7" i="6"/>
  <c r="E13" i="6"/>
  <c r="F15" i="13"/>
  <c r="F17" i="13"/>
  <c r="E364" i="19"/>
  <c r="H8" i="7"/>
  <c r="H6" i="17"/>
  <c r="G120" i="17"/>
  <c r="E43" i="8" l="1"/>
  <c r="E8" i="8"/>
  <c r="E26" i="8"/>
  <c r="D91" i="10"/>
  <c r="D47" i="10" s="1"/>
  <c r="E176" i="17"/>
  <c r="E342" i="19"/>
  <c r="C19" i="9"/>
  <c r="C87" i="9"/>
  <c r="C83" i="9"/>
  <c r="F270" i="19"/>
  <c r="F267" i="19"/>
  <c r="D318" i="19"/>
  <c r="D15" i="12"/>
  <c r="C108" i="10"/>
  <c r="C27" i="9"/>
  <c r="E312" i="19"/>
  <c r="F24" i="12"/>
  <c r="G144" i="7"/>
  <c r="G147" i="7"/>
  <c r="G6" i="3"/>
  <c r="G25" i="7"/>
  <c r="H25" i="7" s="1"/>
  <c r="G16" i="8"/>
  <c r="H23" i="7"/>
  <c r="G10" i="3"/>
  <c r="G7" i="8"/>
  <c r="G25" i="8"/>
  <c r="G36" i="8"/>
  <c r="G42" i="8" s="1"/>
  <c r="G97" i="8"/>
  <c r="H97" i="8" s="1"/>
  <c r="H65" i="8"/>
  <c r="C8" i="9"/>
  <c r="C24" i="9"/>
  <c r="C34" i="9"/>
  <c r="G256" i="19"/>
  <c r="F336" i="19" s="1"/>
  <c r="F20" i="5" s="1"/>
  <c r="G9" i="4"/>
  <c r="F10" i="11"/>
  <c r="D323" i="19"/>
  <c r="D319" i="19"/>
  <c r="F25" i="10"/>
  <c r="AZ20" i="22"/>
  <c r="F157" i="19"/>
  <c r="F29" i="10"/>
  <c r="F161" i="19"/>
  <c r="L21" i="22"/>
  <c r="D87" i="17"/>
  <c r="D65" i="17"/>
  <c r="D65" i="10"/>
  <c r="D87" i="10"/>
  <c r="H98" i="8"/>
  <c r="C111" i="10"/>
  <c r="F24" i="8"/>
  <c r="F26" i="8" s="1"/>
  <c r="F18" i="8"/>
  <c r="F37" i="8" s="1"/>
  <c r="F6" i="8"/>
  <c r="F16" i="3"/>
  <c r="F8" i="6" s="1"/>
  <c r="F22" i="3"/>
  <c r="F9" i="6" s="1"/>
  <c r="G7" i="3"/>
  <c r="F12" i="6"/>
  <c r="F14" i="6"/>
  <c r="G16" i="13"/>
  <c r="G18" i="13"/>
  <c r="F11" i="3"/>
  <c r="F7" i="6"/>
  <c r="F13" i="6"/>
  <c r="G15" i="13"/>
  <c r="G17" i="13"/>
  <c r="F364" i="19"/>
  <c r="F155" i="7"/>
  <c r="F50" i="7"/>
  <c r="D131" i="19"/>
  <c r="D135" i="19"/>
  <c r="C38" i="9"/>
  <c r="D114" i="17"/>
  <c r="D108" i="17"/>
  <c r="D36" i="17"/>
  <c r="D68" i="17"/>
  <c r="D80" i="17"/>
  <c r="D86" i="17"/>
  <c r="D38" i="17"/>
  <c r="D60" i="17"/>
  <c r="D28" i="17"/>
  <c r="D84" i="17"/>
  <c r="D417" i="19"/>
  <c r="D76" i="10"/>
  <c r="D112" i="17"/>
  <c r="D49" i="17"/>
  <c r="D80" i="9" s="1"/>
  <c r="E44" i="17"/>
  <c r="E48" i="17"/>
  <c r="E83" i="17"/>
  <c r="E61" i="10"/>
  <c r="E52" i="17"/>
  <c r="E97" i="17"/>
  <c r="E111" i="17"/>
  <c r="H42" i="7"/>
  <c r="H39" i="7"/>
  <c r="H132" i="17"/>
  <c r="H12" i="12" s="1"/>
  <c r="H135" i="17"/>
  <c r="E2" i="21"/>
  <c r="F369" i="19"/>
  <c r="E92" i="9"/>
  <c r="E97" i="9"/>
  <c r="E108" i="9"/>
  <c r="H139" i="7"/>
  <c r="D56" i="17"/>
  <c r="F9" i="3"/>
  <c r="F96" i="8"/>
  <c r="A68" i="18"/>
  <c r="A69" i="18" s="1"/>
  <c r="F68" i="19"/>
  <c r="F85" i="8"/>
  <c r="F100" i="8"/>
  <c r="C103" i="10"/>
  <c r="C110" i="10"/>
  <c r="D31" i="9"/>
  <c r="F7" i="8"/>
  <c r="F36" i="8"/>
  <c r="F10" i="3"/>
  <c r="F25" i="8"/>
  <c r="H17" i="8"/>
  <c r="I75" i="2"/>
  <c r="I76" i="2"/>
  <c r="I74" i="2"/>
  <c r="I73" i="2"/>
  <c r="E27" i="12"/>
  <c r="C159" i="17"/>
  <c r="C160" i="17" s="1"/>
  <c r="C305" i="19"/>
  <c r="C306" i="19" s="1"/>
  <c r="B300" i="19" s="1"/>
  <c r="C12" i="13"/>
  <c r="C17" i="4" s="1"/>
  <c r="C9" i="9"/>
  <c r="C32" i="9"/>
  <c r="D164" i="19"/>
  <c r="D167" i="19"/>
  <c r="E118" i="8"/>
  <c r="E310" i="19"/>
  <c r="E311" i="19"/>
  <c r="E60" i="10"/>
  <c r="E43" i="17"/>
  <c r="E82" i="17"/>
  <c r="E47" i="17"/>
  <c r="E49" i="17" s="1"/>
  <c r="E80" i="9" s="1"/>
  <c r="E106" i="10" s="1"/>
  <c r="E96" i="17"/>
  <c r="E98" i="17" s="1"/>
  <c r="E10" i="10"/>
  <c r="E31" i="10"/>
  <c r="E51" i="17"/>
  <c r="E53" i="17" s="1"/>
  <c r="E81" i="9" s="1"/>
  <c r="E107" i="10" s="1"/>
  <c r="E110" i="17"/>
  <c r="E34" i="10"/>
  <c r="E79" i="10" s="1"/>
  <c r="E27" i="17"/>
  <c r="E93" i="17"/>
  <c r="E101" i="17" s="1"/>
  <c r="E79" i="17"/>
  <c r="E87" i="17" s="1"/>
  <c r="E57" i="10"/>
  <c r="E35" i="17"/>
  <c r="E69" i="17" s="1"/>
  <c r="E31" i="17"/>
  <c r="E65" i="17" s="1"/>
  <c r="E107" i="17"/>
  <c r="E115" i="17" s="1"/>
  <c r="G172" i="19"/>
  <c r="G119" i="17"/>
  <c r="G121" i="17" s="1"/>
  <c r="G253" i="19" s="1"/>
  <c r="H5" i="17"/>
  <c r="H7" i="17" s="1"/>
  <c r="G270" i="19"/>
  <c r="G267" i="19"/>
  <c r="G64" i="8"/>
  <c r="H68" i="8" s="1"/>
  <c r="G68" i="8"/>
  <c r="G90" i="8"/>
  <c r="H90" i="8" s="1"/>
  <c r="H58" i="8"/>
  <c r="G218" i="7"/>
  <c r="G215" i="7"/>
  <c r="H218" i="7"/>
  <c r="C113" i="9"/>
  <c r="D23" i="9"/>
  <c r="D96" i="9"/>
  <c r="D98" i="9"/>
  <c r="D320" i="19"/>
  <c r="F26" i="10"/>
  <c r="F158" i="19"/>
  <c r="BL20" i="22"/>
  <c r="F162" i="19"/>
  <c r="F30" i="10"/>
  <c r="X21" i="22"/>
  <c r="D115" i="17"/>
  <c r="D61" i="17"/>
  <c r="D39" i="17"/>
  <c r="D73" i="17" s="1"/>
  <c r="D101" i="17"/>
  <c r="D69" i="17"/>
  <c r="H67" i="8"/>
  <c r="I118" i="2"/>
  <c r="F106" i="9"/>
  <c r="AH24" i="22"/>
  <c r="F105" i="9"/>
  <c r="F94" i="9"/>
  <c r="E144" i="19"/>
  <c r="E145" i="19" s="1"/>
  <c r="E110" i="8"/>
  <c r="E32" i="12"/>
  <c r="C29" i="4"/>
  <c r="C112" i="10"/>
  <c r="D32" i="17"/>
  <c r="D64" i="17"/>
  <c r="D11" i="10"/>
  <c r="D416" i="19"/>
  <c r="D72" i="10"/>
  <c r="D58" i="10"/>
  <c r="D86" i="10"/>
  <c r="D64" i="10"/>
  <c r="D94" i="17"/>
  <c r="D100" i="17"/>
  <c r="D35" i="10"/>
  <c r="D32" i="10"/>
  <c r="D53" i="17"/>
  <c r="D81" i="9" s="1"/>
  <c r="D62" i="10"/>
  <c r="D90" i="10"/>
  <c r="D98" i="17"/>
  <c r="D45" i="17"/>
  <c r="D55" i="17"/>
  <c r="E165" i="19"/>
  <c r="E159" i="19"/>
  <c r="E9" i="10"/>
  <c r="E27" i="10"/>
  <c r="E26" i="17"/>
  <c r="E92" i="17"/>
  <c r="E106" i="17"/>
  <c r="E56" i="10"/>
  <c r="E33" i="10"/>
  <c r="E78" i="10" s="1"/>
  <c r="E30" i="17"/>
  <c r="E34" i="17"/>
  <c r="E78" i="17"/>
  <c r="H176" i="7"/>
  <c r="H179" i="7"/>
  <c r="G118" i="19"/>
  <c r="G114" i="19"/>
  <c r="G103" i="19"/>
  <c r="E109" i="9"/>
  <c r="E107" i="9"/>
  <c r="F102" i="9"/>
  <c r="F91" i="9"/>
  <c r="I117" i="2"/>
  <c r="F103" i="9"/>
  <c r="V24" i="22"/>
  <c r="D124" i="8"/>
  <c r="E112" i="17" l="1"/>
  <c r="E84" i="17"/>
  <c r="H64" i="8"/>
  <c r="F92" i="9"/>
  <c r="F97" i="9"/>
  <c r="E36" i="17"/>
  <c r="E68" i="17"/>
  <c r="E108" i="17"/>
  <c r="E114" i="17"/>
  <c r="E72" i="10"/>
  <c r="E11" i="10"/>
  <c r="E416" i="19"/>
  <c r="D54" i="17"/>
  <c r="D79" i="9"/>
  <c r="D57" i="17"/>
  <c r="D92" i="10"/>
  <c r="D107" i="10"/>
  <c r="D102" i="17"/>
  <c r="D99" i="17"/>
  <c r="D88" i="10"/>
  <c r="D94" i="10"/>
  <c r="D77" i="10"/>
  <c r="D204" i="19"/>
  <c r="D207" i="19"/>
  <c r="D205" i="19"/>
  <c r="D23" i="6"/>
  <c r="D80" i="10"/>
  <c r="D208" i="19"/>
  <c r="D206" i="19"/>
  <c r="D418" i="19"/>
  <c r="D75" i="9"/>
  <c r="D66" i="17"/>
  <c r="C30" i="4"/>
  <c r="B17" i="21" s="1"/>
  <c r="C8" i="14"/>
  <c r="C9" i="14" s="1"/>
  <c r="C392" i="19"/>
  <c r="C393" i="19" s="1"/>
  <c r="B16" i="21"/>
  <c r="E121" i="8"/>
  <c r="F29" i="12"/>
  <c r="E120" i="8"/>
  <c r="E122" i="8"/>
  <c r="E166" i="17"/>
  <c r="E167" i="17"/>
  <c r="E111" i="8"/>
  <c r="F172" i="17"/>
  <c r="F171" i="17"/>
  <c r="F44" i="17"/>
  <c r="F83" i="17"/>
  <c r="F111" i="17"/>
  <c r="F61" i="10"/>
  <c r="F52" i="17"/>
  <c r="F48" i="17"/>
  <c r="F97" i="17"/>
  <c r="F31" i="17"/>
  <c r="F65" i="17" s="1"/>
  <c r="F27" i="17"/>
  <c r="F34" i="10"/>
  <c r="F79" i="10" s="1"/>
  <c r="F57" i="10"/>
  <c r="F35" i="17"/>
  <c r="F69" i="17" s="1"/>
  <c r="F93" i="17"/>
  <c r="F79" i="17"/>
  <c r="F87" i="17" s="1"/>
  <c r="F107" i="17"/>
  <c r="F115" i="17" s="1"/>
  <c r="E87" i="10"/>
  <c r="E43" i="10" s="1"/>
  <c r="E65" i="10"/>
  <c r="E76" i="10"/>
  <c r="E417" i="19"/>
  <c r="E45" i="17"/>
  <c r="E55" i="17"/>
  <c r="C380" i="19"/>
  <c r="B7" i="21"/>
  <c r="E177" i="17"/>
  <c r="E343" i="19"/>
  <c r="G25" i="10"/>
  <c r="BB20" i="22"/>
  <c r="G157" i="19"/>
  <c r="G162" i="19"/>
  <c r="G30" i="10"/>
  <c r="Z21" i="22"/>
  <c r="C109" i="10"/>
  <c r="C113" i="10"/>
  <c r="E56" i="17"/>
  <c r="D74" i="9"/>
  <c r="D40" i="17"/>
  <c r="D37" i="17"/>
  <c r="D62" i="17"/>
  <c r="D72" i="17"/>
  <c r="D55" i="9"/>
  <c r="D88" i="17"/>
  <c r="D85" i="17"/>
  <c r="D76" i="9"/>
  <c r="D70" i="17"/>
  <c r="F8" i="8"/>
  <c r="F43" i="8"/>
  <c r="F10" i="10"/>
  <c r="F47" i="17"/>
  <c r="F49" i="17" s="1"/>
  <c r="F80" i="9" s="1"/>
  <c r="F106" i="10" s="1"/>
  <c r="F43" i="17"/>
  <c r="F31" i="10"/>
  <c r="F60" i="10"/>
  <c r="F51" i="17"/>
  <c r="F53" i="17" s="1"/>
  <c r="F81" i="9" s="1"/>
  <c r="F107" i="10" s="1"/>
  <c r="F82" i="17"/>
  <c r="F84" i="17" s="1"/>
  <c r="F110" i="17"/>
  <c r="F112" i="17" s="1"/>
  <c r="F96" i="17"/>
  <c r="F98" i="17" s="1"/>
  <c r="H7" i="8"/>
  <c r="C112" i="9"/>
  <c r="C35" i="9"/>
  <c r="E16" i="12"/>
  <c r="E178" i="17"/>
  <c r="F107" i="9"/>
  <c r="F109" i="9"/>
  <c r="E28" i="17"/>
  <c r="E60" i="17"/>
  <c r="E38" i="17"/>
  <c r="E72" i="17" s="1"/>
  <c r="G103" i="9"/>
  <c r="X24" i="22"/>
  <c r="G102" i="9"/>
  <c r="H102" i="9" s="1"/>
  <c r="G91" i="9"/>
  <c r="F108" i="9"/>
  <c r="E86" i="17"/>
  <c r="E80" i="17"/>
  <c r="E32" i="17"/>
  <c r="E64" i="17"/>
  <c r="E86" i="10"/>
  <c r="E42" i="10" s="1"/>
  <c r="E58" i="10"/>
  <c r="E64" i="10"/>
  <c r="E94" i="17"/>
  <c r="E100" i="17"/>
  <c r="E32" i="10"/>
  <c r="E35" i="10"/>
  <c r="E167" i="19"/>
  <c r="E164" i="19"/>
  <c r="D46" i="10"/>
  <c r="D42" i="10"/>
  <c r="D66" i="10"/>
  <c r="D63" i="10"/>
  <c r="F95" i="9"/>
  <c r="G94" i="9"/>
  <c r="G95" i="9" s="1"/>
  <c r="G31" i="9" s="1"/>
  <c r="G105" i="9"/>
  <c r="H105" i="9" s="1"/>
  <c r="G106" i="9"/>
  <c r="H106" i="9" s="1"/>
  <c r="AJ24" i="22"/>
  <c r="F166" i="19"/>
  <c r="D39" i="9"/>
  <c r="D10" i="13"/>
  <c r="G9" i="3"/>
  <c r="H9" i="3" s="1"/>
  <c r="G85" i="8"/>
  <c r="H96" i="8" s="1"/>
  <c r="G96" i="8"/>
  <c r="G68" i="19"/>
  <c r="G100" i="8"/>
  <c r="A72" i="18"/>
  <c r="A73" i="18" s="1"/>
  <c r="E39" i="17"/>
  <c r="E73" i="17" s="1"/>
  <c r="E61" i="17"/>
  <c r="E56" i="9"/>
  <c r="E30" i="9" s="1"/>
  <c r="E90" i="10"/>
  <c r="E46" i="10" s="1"/>
  <c r="E62" i="10"/>
  <c r="E313" i="19"/>
  <c r="C47" i="9"/>
  <c r="B11" i="5"/>
  <c r="C244" i="19"/>
  <c r="G26" i="10"/>
  <c r="B21" i="22"/>
  <c r="G158" i="19"/>
  <c r="G166" i="19" s="1"/>
  <c r="G161" i="19"/>
  <c r="G163" i="19" s="1"/>
  <c r="G29" i="10"/>
  <c r="N21" i="22"/>
  <c r="F42" i="8"/>
  <c r="H42" i="8" s="1"/>
  <c r="H36" i="8"/>
  <c r="E96" i="9"/>
  <c r="E23" i="9"/>
  <c r="E39" i="9" s="1"/>
  <c r="E98" i="9"/>
  <c r="H9" i="4"/>
  <c r="H256" i="19"/>
  <c r="G336" i="19" s="1"/>
  <c r="G20" i="5" s="1"/>
  <c r="I12" i="12"/>
  <c r="G10" i="11"/>
  <c r="E91" i="10"/>
  <c r="E47" i="10" s="1"/>
  <c r="D106" i="10"/>
  <c r="D56" i="9"/>
  <c r="D116" i="17"/>
  <c r="D113" i="17"/>
  <c r="D95" i="10"/>
  <c r="D43" i="10"/>
  <c r="F163" i="19"/>
  <c r="F165" i="19"/>
  <c r="F159" i="19"/>
  <c r="F33" i="10"/>
  <c r="F78" i="10" s="1"/>
  <c r="F9" i="10"/>
  <c r="F27" i="10"/>
  <c r="F30" i="17"/>
  <c r="F34" i="17"/>
  <c r="F106" i="17"/>
  <c r="F56" i="10"/>
  <c r="F78" i="17"/>
  <c r="F26" i="17"/>
  <c r="F92" i="17"/>
  <c r="G369" i="19"/>
  <c r="F2" i="21"/>
  <c r="C40" i="9"/>
  <c r="C33" i="9"/>
  <c r="C10" i="9"/>
  <c r="C13" i="3"/>
  <c r="H25" i="8"/>
  <c r="H10" i="3"/>
  <c r="G24" i="8"/>
  <c r="G26" i="8" s="1"/>
  <c r="G18" i="8"/>
  <c r="G37" i="8" s="1"/>
  <c r="G6" i="8"/>
  <c r="H8" i="8" s="1"/>
  <c r="H16" i="8"/>
  <c r="H37" i="8"/>
  <c r="H18" i="8"/>
  <c r="G16" i="3"/>
  <c r="G8" i="6" s="1"/>
  <c r="G22" i="3"/>
  <c r="G9" i="6" s="1"/>
  <c r="G12" i="6"/>
  <c r="H12" i="6" s="1"/>
  <c r="G13" i="6"/>
  <c r="H13" i="6" s="1"/>
  <c r="G14" i="6"/>
  <c r="H14" i="6" s="1"/>
  <c r="G7" i="6"/>
  <c r="H16" i="13"/>
  <c r="H18" i="13"/>
  <c r="G11" i="3"/>
  <c r="H15" i="13"/>
  <c r="H17" i="13"/>
  <c r="H9" i="6"/>
  <c r="H7" i="6"/>
  <c r="H16" i="3"/>
  <c r="H8" i="6"/>
  <c r="I17" i="13"/>
  <c r="I15" i="13"/>
  <c r="H22" i="3"/>
  <c r="I18" i="13"/>
  <c r="H11" i="3"/>
  <c r="I16" i="13"/>
  <c r="H6" i="3"/>
  <c r="H144" i="7"/>
  <c r="H147" i="7"/>
  <c r="F143" i="19"/>
  <c r="F109" i="8"/>
  <c r="D20" i="12"/>
  <c r="D347" i="19"/>
  <c r="C339" i="19" s="1"/>
  <c r="C21" i="5" s="1"/>
  <c r="D181" i="17"/>
  <c r="D10" i="4"/>
  <c r="F23" i="12"/>
  <c r="E344" i="19"/>
  <c r="E31" i="12"/>
  <c r="H24" i="8"/>
  <c r="H6" i="8"/>
  <c r="H103" i="9"/>
  <c r="F101" i="17" l="1"/>
  <c r="E15" i="10"/>
  <c r="E26" i="9" s="1"/>
  <c r="E48" i="10"/>
  <c r="E44" i="10"/>
  <c r="E14" i="10"/>
  <c r="E50" i="10"/>
  <c r="C25" i="5"/>
  <c r="F176" i="17"/>
  <c r="F342" i="19"/>
  <c r="F115" i="8"/>
  <c r="F117" i="8"/>
  <c r="F116" i="8"/>
  <c r="G25" i="12"/>
  <c r="C15" i="3"/>
  <c r="F28" i="17"/>
  <c r="F60" i="17"/>
  <c r="F38" i="17"/>
  <c r="F58" i="10"/>
  <c r="F64" i="10"/>
  <c r="F86" i="10"/>
  <c r="F42" i="10" s="1"/>
  <c r="F68" i="17"/>
  <c r="F36" i="17"/>
  <c r="F35" i="10"/>
  <c r="F32" i="10"/>
  <c r="D51" i="10"/>
  <c r="H10" i="11"/>
  <c r="H20" i="5"/>
  <c r="G60" i="10"/>
  <c r="G31" i="10"/>
  <c r="H29" i="10"/>
  <c r="H10" i="10"/>
  <c r="G43" i="17"/>
  <c r="G82" i="17"/>
  <c r="G110" i="17"/>
  <c r="G96" i="17"/>
  <c r="H74" i="10"/>
  <c r="G10" i="10"/>
  <c r="H31" i="10"/>
  <c r="G47" i="17"/>
  <c r="G51" i="17"/>
  <c r="H26" i="10"/>
  <c r="H34" i="10"/>
  <c r="H71" i="10"/>
  <c r="G31" i="17"/>
  <c r="G27" i="17"/>
  <c r="G34" i="10"/>
  <c r="G57" i="10"/>
  <c r="G79" i="17"/>
  <c r="G35" i="17"/>
  <c r="G93" i="17"/>
  <c r="G107" i="17"/>
  <c r="D158" i="17"/>
  <c r="D304" i="19"/>
  <c r="H94" i="9"/>
  <c r="D15" i="10"/>
  <c r="D48" i="10"/>
  <c r="E99" i="17"/>
  <c r="E102" i="17"/>
  <c r="E66" i="10"/>
  <c r="E63" i="10"/>
  <c r="E66" i="17"/>
  <c r="E75" i="9"/>
  <c r="G108" i="9"/>
  <c r="H108" i="9" s="1"/>
  <c r="G109" i="9"/>
  <c r="G107" i="9"/>
  <c r="H109" i="9" s="1"/>
  <c r="H26" i="8"/>
  <c r="D22" i="9"/>
  <c r="D57" i="9"/>
  <c r="H100" i="8"/>
  <c r="E54" i="17"/>
  <c r="E79" i="9"/>
  <c r="E57" i="17"/>
  <c r="F87" i="10"/>
  <c r="F65" i="10"/>
  <c r="F43" i="10"/>
  <c r="F61" i="17"/>
  <c r="F39" i="17"/>
  <c r="F56" i="17"/>
  <c r="E315" i="19"/>
  <c r="E123" i="8"/>
  <c r="E125" i="8"/>
  <c r="E316" i="19"/>
  <c r="E321" i="19" s="1"/>
  <c r="E126" i="8"/>
  <c r="D82" i="9"/>
  <c r="D105" i="10"/>
  <c r="E113" i="17"/>
  <c r="E116" i="17"/>
  <c r="E70" i="17"/>
  <c r="E76" i="9"/>
  <c r="C3" i="21"/>
  <c r="D370" i="19"/>
  <c r="G8" i="8"/>
  <c r="G43" i="8"/>
  <c r="F100" i="17"/>
  <c r="F94" i="17"/>
  <c r="F86" i="17"/>
  <c r="F80" i="17"/>
  <c r="F114" i="17"/>
  <c r="F108" i="17"/>
  <c r="F32" i="17"/>
  <c r="F64" i="17"/>
  <c r="F72" i="10"/>
  <c r="F11" i="10"/>
  <c r="F416" i="19"/>
  <c r="F167" i="19"/>
  <c r="F164" i="19"/>
  <c r="D30" i="9"/>
  <c r="I9" i="4"/>
  <c r="H369" i="19"/>
  <c r="G2" i="21"/>
  <c r="E211" i="2"/>
  <c r="E92" i="10"/>
  <c r="F31" i="9"/>
  <c r="H31" i="9" s="1"/>
  <c r="H95" i="9"/>
  <c r="D44" i="10"/>
  <c r="D14" i="10"/>
  <c r="D50" i="10"/>
  <c r="E94" i="10"/>
  <c r="E88" i="10"/>
  <c r="E85" i="17"/>
  <c r="E55" i="9"/>
  <c r="E88" i="17"/>
  <c r="G97" i="9"/>
  <c r="H97" i="9" s="1"/>
  <c r="G92" i="9"/>
  <c r="E40" i="17"/>
  <c r="E37" i="17"/>
  <c r="E74" i="9"/>
  <c r="E62" i="17"/>
  <c r="H43" i="8"/>
  <c r="D9" i="13"/>
  <c r="F56" i="9"/>
  <c r="F30" i="9" s="1"/>
  <c r="F62" i="10"/>
  <c r="F90" i="10"/>
  <c r="H60" i="10"/>
  <c r="F45" i="17"/>
  <c r="F55" i="17"/>
  <c r="F417" i="19"/>
  <c r="F76" i="10"/>
  <c r="D102" i="10"/>
  <c r="D86" i="9"/>
  <c r="D58" i="17"/>
  <c r="D71" i="17"/>
  <c r="D74" i="17"/>
  <c r="D100" i="10"/>
  <c r="D77" i="9"/>
  <c r="D84" i="9"/>
  <c r="H107" i="9"/>
  <c r="H85" i="8"/>
  <c r="H75" i="10"/>
  <c r="G48" i="17"/>
  <c r="G111" i="17"/>
  <c r="G83" i="17"/>
  <c r="G61" i="10"/>
  <c r="H30" i="10"/>
  <c r="G44" i="17"/>
  <c r="G52" i="17"/>
  <c r="G97" i="17"/>
  <c r="G165" i="19"/>
  <c r="G159" i="19"/>
  <c r="H25" i="10"/>
  <c r="G33" i="10"/>
  <c r="H33" i="10"/>
  <c r="G56" i="10"/>
  <c r="H70" i="10"/>
  <c r="G34" i="17"/>
  <c r="G30" i="17"/>
  <c r="G92" i="17"/>
  <c r="G27" i="10"/>
  <c r="H27" i="10"/>
  <c r="G9" i="10"/>
  <c r="H9" i="10"/>
  <c r="G26" i="17"/>
  <c r="G78" i="17"/>
  <c r="G106" i="17"/>
  <c r="E51" i="10"/>
  <c r="E95" i="10"/>
  <c r="F91" i="10"/>
  <c r="F173" i="17"/>
  <c r="E63" i="19"/>
  <c r="E132" i="19"/>
  <c r="E134" i="19"/>
  <c r="E133" i="19"/>
  <c r="E140" i="19"/>
  <c r="E168" i="17"/>
  <c r="E356" i="19" s="1"/>
  <c r="E359" i="19" s="1"/>
  <c r="D353" i="19" s="1"/>
  <c r="E350" i="19" s="1"/>
  <c r="E317" i="19"/>
  <c r="E322" i="19" s="1"/>
  <c r="E127" i="8"/>
  <c r="F28" i="12"/>
  <c r="F33" i="12"/>
  <c r="D101" i="10"/>
  <c r="D85" i="9"/>
  <c r="D96" i="10"/>
  <c r="D93" i="10"/>
  <c r="E23" i="6"/>
  <c r="E80" i="10"/>
  <c r="E418" i="19"/>
  <c r="E208" i="19"/>
  <c r="E206" i="19"/>
  <c r="E77" i="10"/>
  <c r="E205" i="19"/>
  <c r="E204" i="19"/>
  <c r="E207" i="19"/>
  <c r="H91" i="9"/>
  <c r="F98" i="9"/>
  <c r="F23" i="9"/>
  <c r="F39" i="9" s="1"/>
  <c r="F96" i="9"/>
  <c r="H92" i="9"/>
  <c r="H61" i="10"/>
  <c r="F14" i="10" l="1"/>
  <c r="F44" i="10"/>
  <c r="D111" i="10"/>
  <c r="F144" i="19"/>
  <c r="F145" i="19" s="1"/>
  <c r="F110" i="8"/>
  <c r="F32" i="12"/>
  <c r="E131" i="19"/>
  <c r="E135" i="19"/>
  <c r="G108" i="17"/>
  <c r="G114" i="17"/>
  <c r="G28" i="17"/>
  <c r="G38" i="17"/>
  <c r="G60" i="17"/>
  <c r="G11" i="10"/>
  <c r="H11" i="10"/>
  <c r="G416" i="19"/>
  <c r="G72" i="10"/>
  <c r="H72" i="10"/>
  <c r="G35" i="10"/>
  <c r="H35" i="10"/>
  <c r="G32" i="10"/>
  <c r="H32" i="10"/>
  <c r="G32" i="17"/>
  <c r="G64" i="17"/>
  <c r="D19" i="9"/>
  <c r="D83" i="9"/>
  <c r="D87" i="9"/>
  <c r="F92" i="10"/>
  <c r="E84" i="9"/>
  <c r="E77" i="9"/>
  <c r="E100" i="10"/>
  <c r="E22" i="9"/>
  <c r="E38" i="9" s="1"/>
  <c r="E57" i="9"/>
  <c r="E93" i="10"/>
  <c r="E96" i="10"/>
  <c r="D16" i="10"/>
  <c r="D18" i="9"/>
  <c r="C18" i="4"/>
  <c r="B405" i="19"/>
  <c r="B12" i="5" s="1"/>
  <c r="AT28" i="22"/>
  <c r="C20" i="13"/>
  <c r="F75" i="9"/>
  <c r="F66" i="17"/>
  <c r="E102" i="10"/>
  <c r="E112" i="10" s="1"/>
  <c r="E86" i="9"/>
  <c r="D27" i="9"/>
  <c r="E318" i="19"/>
  <c r="E320" i="19"/>
  <c r="F73" i="17"/>
  <c r="F95" i="10"/>
  <c r="D38" i="9"/>
  <c r="E85" i="9"/>
  <c r="E101" i="10"/>
  <c r="E111" i="10" s="1"/>
  <c r="D26" i="9"/>
  <c r="G101" i="17"/>
  <c r="G87" i="17"/>
  <c r="G79" i="10"/>
  <c r="H79" i="10"/>
  <c r="G65" i="17"/>
  <c r="G53" i="17"/>
  <c r="G81" i="9" s="1"/>
  <c r="G112" i="17"/>
  <c r="G45" i="17"/>
  <c r="G55" i="17"/>
  <c r="G62" i="10"/>
  <c r="H62" i="10" s="1"/>
  <c r="G46" i="10"/>
  <c r="G90" i="10"/>
  <c r="F70" i="17"/>
  <c r="F76" i="9"/>
  <c r="F72" i="17"/>
  <c r="F37" i="17"/>
  <c r="F62" i="17"/>
  <c r="F74" i="9"/>
  <c r="F40" i="17"/>
  <c r="G24" i="12"/>
  <c r="F118" i="8"/>
  <c r="F310" i="19"/>
  <c r="B411" i="19"/>
  <c r="E52" i="10"/>
  <c r="E49" i="10"/>
  <c r="E15" i="12"/>
  <c r="F47" i="10"/>
  <c r="F51" i="10" s="1"/>
  <c r="G86" i="17"/>
  <c r="G80" i="17"/>
  <c r="G94" i="17"/>
  <c r="G100" i="17"/>
  <c r="G68" i="17"/>
  <c r="G36" i="17"/>
  <c r="G64" i="10"/>
  <c r="H64" i="10" s="1"/>
  <c r="G86" i="10"/>
  <c r="G42" i="10" s="1"/>
  <c r="G58" i="10"/>
  <c r="H78" i="10"/>
  <c r="G78" i="10"/>
  <c r="G167" i="19"/>
  <c r="G164" i="19"/>
  <c r="G56" i="17"/>
  <c r="G91" i="10"/>
  <c r="G47" i="10" s="1"/>
  <c r="H47" i="10" s="1"/>
  <c r="D103" i="10"/>
  <c r="D110" i="10"/>
  <c r="D112" i="10"/>
  <c r="F57" i="17"/>
  <c r="F79" i="9"/>
  <c r="F54" i="17"/>
  <c r="F46" i="10"/>
  <c r="D303" i="19"/>
  <c r="D157" i="17"/>
  <c r="E71" i="17"/>
  <c r="E74" i="17"/>
  <c r="E58" i="17"/>
  <c r="G98" i="9"/>
  <c r="G23" i="9"/>
  <c r="G39" i="9" s="1"/>
  <c r="H39" i="9" s="1"/>
  <c r="G96" i="9"/>
  <c r="H98" i="9" s="1"/>
  <c r="D49" i="10"/>
  <c r="D52" i="10"/>
  <c r="B27" i="5"/>
  <c r="F77" i="10"/>
  <c r="F206" i="19"/>
  <c r="F204" i="19"/>
  <c r="F207" i="19"/>
  <c r="F23" i="6"/>
  <c r="F80" i="10"/>
  <c r="F205" i="19"/>
  <c r="F208" i="19"/>
  <c r="F418" i="19"/>
  <c r="F113" i="17"/>
  <c r="F116" i="17"/>
  <c r="F85" i="17"/>
  <c r="F55" i="9"/>
  <c r="F88" i="17"/>
  <c r="F102" i="17"/>
  <c r="F99" i="17"/>
  <c r="D108" i="10"/>
  <c r="E128" i="8"/>
  <c r="E124" i="8"/>
  <c r="F27" i="12"/>
  <c r="H65" i="10"/>
  <c r="H96" i="9"/>
  <c r="E105" i="10"/>
  <c r="E108" i="10" s="1"/>
  <c r="E82" i="9"/>
  <c r="E27" i="9" s="1"/>
  <c r="H56" i="10"/>
  <c r="G115" i="17"/>
  <c r="G69" i="17"/>
  <c r="G65" i="10"/>
  <c r="G87" i="10"/>
  <c r="G95" i="10" s="1"/>
  <c r="H95" i="10" s="1"/>
  <c r="H57" i="10"/>
  <c r="G39" i="17"/>
  <c r="G73" i="17" s="1"/>
  <c r="G61" i="17"/>
  <c r="G49" i="17"/>
  <c r="G80" i="9" s="1"/>
  <c r="H76" i="10"/>
  <c r="G417" i="19"/>
  <c r="G76" i="10"/>
  <c r="G98" i="17"/>
  <c r="G84" i="17"/>
  <c r="G56" i="9" s="1"/>
  <c r="G30" i="9" s="1"/>
  <c r="H30" i="9" s="1"/>
  <c r="F94" i="10"/>
  <c r="F88" i="10"/>
  <c r="F66" i="10"/>
  <c r="F63" i="10"/>
  <c r="H58" i="10"/>
  <c r="F311" i="19"/>
  <c r="F312" i="19"/>
  <c r="E18" i="9"/>
  <c r="E16" i="10"/>
  <c r="E113" i="9" s="1"/>
  <c r="F10" i="13" s="1"/>
  <c r="E9" i="9"/>
  <c r="E47" i="9" s="1"/>
  <c r="E32" i="9"/>
  <c r="F158" i="17" l="1"/>
  <c r="F304" i="19"/>
  <c r="F22" i="9"/>
  <c r="F57" i="9"/>
  <c r="C6" i="5"/>
  <c r="C9" i="12"/>
  <c r="C8" i="4"/>
  <c r="B29" i="5"/>
  <c r="C247" i="19"/>
  <c r="F48" i="10"/>
  <c r="F15" i="10"/>
  <c r="H46" i="10"/>
  <c r="F82" i="9"/>
  <c r="F27" i="9" s="1"/>
  <c r="F105" i="10"/>
  <c r="F108" i="10" s="1"/>
  <c r="D113" i="10"/>
  <c r="D109" i="10"/>
  <c r="G50" i="10"/>
  <c r="G102" i="17"/>
  <c r="G99" i="17"/>
  <c r="E20" i="12"/>
  <c r="E347" i="19"/>
  <c r="D339" i="19" s="1"/>
  <c r="D21" i="5" s="1"/>
  <c r="E181" i="17"/>
  <c r="E10" i="4"/>
  <c r="G143" i="19"/>
  <c r="G109" i="8"/>
  <c r="F77" i="9"/>
  <c r="F100" i="10"/>
  <c r="F84" i="9"/>
  <c r="F71" i="17"/>
  <c r="F58" i="17"/>
  <c r="F74" i="17"/>
  <c r="F102" i="10"/>
  <c r="F86" i="9"/>
  <c r="G48" i="10"/>
  <c r="G15" i="10"/>
  <c r="G26" i="9" s="1"/>
  <c r="D32" i="9"/>
  <c r="D9" i="9"/>
  <c r="H87" i="10"/>
  <c r="F101" i="10"/>
  <c r="F111" i="10" s="1"/>
  <c r="F85" i="9"/>
  <c r="B8" i="21"/>
  <c r="C381" i="19"/>
  <c r="C383" i="19" s="1"/>
  <c r="C388" i="19" s="1"/>
  <c r="C20" i="4"/>
  <c r="D113" i="9"/>
  <c r="E83" i="9"/>
  <c r="E112" i="9" s="1"/>
  <c r="E19" i="9"/>
  <c r="E35" i="9" s="1"/>
  <c r="E87" i="9"/>
  <c r="D112" i="9"/>
  <c r="G23" i="6"/>
  <c r="H80" i="10"/>
  <c r="G80" i="10"/>
  <c r="G206" i="19"/>
  <c r="G204" i="19"/>
  <c r="G418" i="19"/>
  <c r="H23" i="6"/>
  <c r="H77" i="10"/>
  <c r="G77" i="10"/>
  <c r="G207" i="19"/>
  <c r="G205" i="19"/>
  <c r="G208" i="19"/>
  <c r="G72" i="17"/>
  <c r="H91" i="10"/>
  <c r="F120" i="8"/>
  <c r="F122" i="8"/>
  <c r="F121" i="8"/>
  <c r="G29" i="12"/>
  <c r="F166" i="17"/>
  <c r="F168" i="17" s="1"/>
  <c r="F356" i="19" s="1"/>
  <c r="F359" i="19" s="1"/>
  <c r="E353" i="19" s="1"/>
  <c r="F350" i="19" s="1"/>
  <c r="F167" i="17"/>
  <c r="G171" i="17"/>
  <c r="F111" i="8"/>
  <c r="G172" i="17"/>
  <c r="F52" i="10"/>
  <c r="F49" i="10"/>
  <c r="F16" i="10"/>
  <c r="F18" i="9"/>
  <c r="E34" i="9"/>
  <c r="E8" i="9"/>
  <c r="E24" i="9"/>
  <c r="F93" i="10"/>
  <c r="F96" i="10"/>
  <c r="G106" i="10"/>
  <c r="H106" i="10" s="1"/>
  <c r="H80" i="9"/>
  <c r="G43" i="10"/>
  <c r="G44" i="10" s="1"/>
  <c r="F177" i="17"/>
  <c r="F178" i="17" s="1"/>
  <c r="F343" i="19"/>
  <c r="F31" i="12"/>
  <c r="F16" i="12"/>
  <c r="G63" i="10"/>
  <c r="H66" i="10" s="1"/>
  <c r="G66" i="10"/>
  <c r="G94" i="10"/>
  <c r="H94" i="10" s="1"/>
  <c r="G88" i="10"/>
  <c r="H86" i="10"/>
  <c r="G76" i="9"/>
  <c r="G70" i="17"/>
  <c r="G55" i="9"/>
  <c r="G85" i="17"/>
  <c r="G88" i="17"/>
  <c r="F313" i="19"/>
  <c r="G23" i="12"/>
  <c r="G92" i="10"/>
  <c r="H92" i="10" s="1"/>
  <c r="H90" i="10"/>
  <c r="G54" i="17"/>
  <c r="G79" i="9"/>
  <c r="G57" i="17"/>
  <c r="G107" i="10"/>
  <c r="H107" i="10" s="1"/>
  <c r="H81" i="9"/>
  <c r="H55" i="9"/>
  <c r="E319" i="19"/>
  <c r="E323" i="19"/>
  <c r="H56" i="9"/>
  <c r="B17" i="5"/>
  <c r="H23" i="9"/>
  <c r="D8" i="9"/>
  <c r="D24" i="9"/>
  <c r="D34" i="9"/>
  <c r="E110" i="10"/>
  <c r="E103" i="10"/>
  <c r="D35" i="9"/>
  <c r="G66" i="17"/>
  <c r="G75" i="9"/>
  <c r="H75" i="9" s="1"/>
  <c r="G74" i="9"/>
  <c r="G37" i="17"/>
  <c r="G62" i="17"/>
  <c r="G40" i="17"/>
  <c r="G116" i="17"/>
  <c r="G113" i="17"/>
  <c r="H42" i="10"/>
  <c r="F50" i="10"/>
  <c r="H50" i="10" s="1"/>
  <c r="G49" i="10" l="1"/>
  <c r="G52" i="10"/>
  <c r="H44" i="10"/>
  <c r="F9" i="13"/>
  <c r="G77" i="9"/>
  <c r="G84" i="9"/>
  <c r="G100" i="10"/>
  <c r="D13" i="3"/>
  <c r="D10" i="9"/>
  <c r="B34" i="5"/>
  <c r="G105" i="10"/>
  <c r="G82" i="9"/>
  <c r="G176" i="17"/>
  <c r="G342" i="19"/>
  <c r="G57" i="9"/>
  <c r="H57" i="9" s="1"/>
  <c r="G22" i="9"/>
  <c r="G38" i="9" s="1"/>
  <c r="G86" i="9"/>
  <c r="H86" i="9" s="1"/>
  <c r="G102" i="10"/>
  <c r="G112" i="10" s="1"/>
  <c r="G93" i="10"/>
  <c r="G96" i="10"/>
  <c r="E22" i="6"/>
  <c r="H88" i="10"/>
  <c r="H93" i="10"/>
  <c r="H96" i="10"/>
  <c r="H63" i="10"/>
  <c r="E33" i="9"/>
  <c r="E40" i="9"/>
  <c r="G173" i="17"/>
  <c r="F15" i="12"/>
  <c r="G28" i="12"/>
  <c r="G33" i="12"/>
  <c r="F317" i="19"/>
  <c r="F322" i="19" s="1"/>
  <c r="F127" i="8"/>
  <c r="E9" i="13"/>
  <c r="E10" i="13"/>
  <c r="D47" i="9"/>
  <c r="H76" i="9"/>
  <c r="F112" i="10"/>
  <c r="H112" i="10" s="1"/>
  <c r="H102" i="10"/>
  <c r="H74" i="9"/>
  <c r="F103" i="10"/>
  <c r="F110" i="10"/>
  <c r="H100" i="10"/>
  <c r="G116" i="8"/>
  <c r="G115" i="8"/>
  <c r="G117" i="8"/>
  <c r="H25" i="12"/>
  <c r="H109" i="8"/>
  <c r="D3" i="21"/>
  <c r="E370" i="19"/>
  <c r="D25" i="5"/>
  <c r="H79" i="9"/>
  <c r="F26" i="9"/>
  <c r="H15" i="10"/>
  <c r="B30" i="5"/>
  <c r="G58" i="17"/>
  <c r="G74" i="17"/>
  <c r="G71" i="17"/>
  <c r="G85" i="9"/>
  <c r="G101" i="10"/>
  <c r="E113" i="10"/>
  <c r="E109" i="10"/>
  <c r="D40" i="9"/>
  <c r="D33" i="9"/>
  <c r="B412" i="19"/>
  <c r="F344" i="19"/>
  <c r="G51" i="10"/>
  <c r="H51" i="10" s="1"/>
  <c r="H43" i="10"/>
  <c r="E13" i="3"/>
  <c r="E15" i="3" s="1"/>
  <c r="E10" i="9"/>
  <c r="F34" i="9"/>
  <c r="F133" i="19"/>
  <c r="F132" i="19"/>
  <c r="F134" i="19"/>
  <c r="F63" i="19"/>
  <c r="F140" i="19"/>
  <c r="F316" i="19"/>
  <c r="F321" i="19" s="1"/>
  <c r="F113" i="9" s="1"/>
  <c r="G10" i="13" s="1"/>
  <c r="F126" i="8"/>
  <c r="F315" i="19"/>
  <c r="F123" i="8"/>
  <c r="F125" i="8"/>
  <c r="B17" i="6"/>
  <c r="C25" i="4"/>
  <c r="B14" i="21" s="1"/>
  <c r="B10" i="21"/>
  <c r="B18" i="6"/>
  <c r="H85" i="9"/>
  <c r="H84" i="9"/>
  <c r="F87" i="9"/>
  <c r="F19" i="9"/>
  <c r="F83" i="9"/>
  <c r="G14" i="10"/>
  <c r="H48" i="10"/>
  <c r="C11" i="4"/>
  <c r="B1" i="21"/>
  <c r="C368" i="19"/>
  <c r="C371" i="19" s="1"/>
  <c r="C373" i="19" s="1"/>
  <c r="D8" i="12"/>
  <c r="C13" i="11"/>
  <c r="F38" i="9"/>
  <c r="H22" i="9"/>
  <c r="B4" i="21" l="1"/>
  <c r="C13" i="4"/>
  <c r="G18" i="9"/>
  <c r="G16" i="10"/>
  <c r="H16" i="10" s="1"/>
  <c r="H14" i="10"/>
  <c r="F35" i="9"/>
  <c r="F318" i="19"/>
  <c r="F320" i="19"/>
  <c r="F112" i="9" s="1"/>
  <c r="F135" i="19"/>
  <c r="F131" i="19"/>
  <c r="F8" i="9"/>
  <c r="G111" i="10"/>
  <c r="H111" i="10" s="1"/>
  <c r="H101" i="10"/>
  <c r="F9" i="9"/>
  <c r="F32" i="9"/>
  <c r="H26" i="9"/>
  <c r="G312" i="19"/>
  <c r="H117" i="8"/>
  <c r="G311" i="19"/>
  <c r="H116" i="8"/>
  <c r="E157" i="17"/>
  <c r="E303" i="19"/>
  <c r="F181" i="17"/>
  <c r="F20" i="12"/>
  <c r="F347" i="19"/>
  <c r="F10" i="4"/>
  <c r="G27" i="9"/>
  <c r="H82" i="9"/>
  <c r="D15" i="3"/>
  <c r="H52" i="10"/>
  <c r="H49" i="10"/>
  <c r="C18" i="3"/>
  <c r="F128" i="8"/>
  <c r="G27" i="12"/>
  <c r="F124" i="8"/>
  <c r="G304" i="19"/>
  <c r="G158" i="17"/>
  <c r="F24" i="9"/>
  <c r="B413" i="19"/>
  <c r="E339" i="19"/>
  <c r="E21" i="5" s="1"/>
  <c r="I25" i="12"/>
  <c r="H24" i="12"/>
  <c r="G118" i="8"/>
  <c r="G310" i="19"/>
  <c r="H115" i="8"/>
  <c r="F109" i="10"/>
  <c r="F113" i="10"/>
  <c r="E158" i="17"/>
  <c r="E304" i="19"/>
  <c r="G144" i="19"/>
  <c r="G145" i="19" s="1"/>
  <c r="G110" i="8"/>
  <c r="G32" i="12"/>
  <c r="H38" i="9"/>
  <c r="C411" i="19"/>
  <c r="G108" i="10"/>
  <c r="H108" i="10" s="1"/>
  <c r="H105" i="10"/>
  <c r="G110" i="10"/>
  <c r="H110" i="10" s="1"/>
  <c r="G103" i="10"/>
  <c r="G19" i="9"/>
  <c r="G35" i="9" s="1"/>
  <c r="G83" i="9"/>
  <c r="H87" i="9" s="1"/>
  <c r="G87" i="9"/>
  <c r="H77" i="9"/>
  <c r="F157" i="17"/>
  <c r="F303" i="19"/>
  <c r="G313" i="19" l="1"/>
  <c r="H118" i="8"/>
  <c r="H23" i="12"/>
  <c r="H83" i="9"/>
  <c r="C8" i="11"/>
  <c r="F47" i="9"/>
  <c r="F13" i="3"/>
  <c r="F10" i="9"/>
  <c r="F319" i="19"/>
  <c r="F323" i="19"/>
  <c r="H35" i="9"/>
  <c r="B21" i="6"/>
  <c r="C34" i="4"/>
  <c r="C402" i="19" s="1"/>
  <c r="B28" i="6"/>
  <c r="B6" i="21"/>
  <c r="G109" i="10"/>
  <c r="H109" i="10" s="1"/>
  <c r="G113" i="10"/>
  <c r="H103" i="10"/>
  <c r="G120" i="8"/>
  <c r="G122" i="8"/>
  <c r="G121" i="8"/>
  <c r="H29" i="12"/>
  <c r="H110" i="8"/>
  <c r="G111" i="8"/>
  <c r="H171" i="17"/>
  <c r="G166" i="17"/>
  <c r="G167" i="17"/>
  <c r="H172" i="17"/>
  <c r="I24" i="12"/>
  <c r="H143" i="19"/>
  <c r="E25" i="5"/>
  <c r="F33" i="9"/>
  <c r="F40" i="9"/>
  <c r="G343" i="19"/>
  <c r="G177" i="17"/>
  <c r="G178" i="17" s="1"/>
  <c r="G16" i="12"/>
  <c r="G31" i="12"/>
  <c r="H27" i="9"/>
  <c r="G9" i="9"/>
  <c r="G47" i="9" s="1"/>
  <c r="H47" i="9" s="1"/>
  <c r="G32" i="9"/>
  <c r="H32" i="9" s="1"/>
  <c r="F370" i="19"/>
  <c r="E3" i="21"/>
  <c r="H113" i="10"/>
  <c r="G9" i="13"/>
  <c r="H19" i="9"/>
  <c r="G24" i="9"/>
  <c r="G34" i="9"/>
  <c r="H34" i="9" s="1"/>
  <c r="G8" i="9"/>
  <c r="H18" i="9"/>
  <c r="G13" i="3" l="1"/>
  <c r="G15" i="3" s="1"/>
  <c r="G10" i="9"/>
  <c r="H10" i="9" s="1"/>
  <c r="G33" i="9"/>
  <c r="H33" i="9" s="1"/>
  <c r="G40" i="9"/>
  <c r="G157" i="17"/>
  <c r="G303" i="19"/>
  <c r="C412" i="19"/>
  <c r="G344" i="19"/>
  <c r="G168" i="17"/>
  <c r="G356" i="19" s="1"/>
  <c r="G359" i="19" s="1"/>
  <c r="F353" i="19" s="1"/>
  <c r="G350" i="19" s="1"/>
  <c r="G134" i="19"/>
  <c r="G63" i="19"/>
  <c r="G140" i="19"/>
  <c r="G133" i="19"/>
  <c r="G132" i="19"/>
  <c r="H111" i="8"/>
  <c r="I29" i="12"/>
  <c r="H33" i="12"/>
  <c r="I33" i="12" s="1"/>
  <c r="H28" i="12"/>
  <c r="G317" i="19"/>
  <c r="G322" i="19" s="1"/>
  <c r="H122" i="8"/>
  <c r="G127" i="8"/>
  <c r="H127" i="8" s="1"/>
  <c r="H9" i="9"/>
  <c r="C22" i="11"/>
  <c r="C25" i="11" s="1"/>
  <c r="I23" i="12"/>
  <c r="H342" i="19"/>
  <c r="F22" i="6"/>
  <c r="H24" i="9"/>
  <c r="H40" i="9"/>
  <c r="H173" i="17"/>
  <c r="G316" i="19"/>
  <c r="G321" i="19" s="1"/>
  <c r="G113" i="9" s="1"/>
  <c r="H121" i="8"/>
  <c r="G126" i="8"/>
  <c r="H126" i="8" s="1"/>
  <c r="G315" i="19"/>
  <c r="G123" i="8"/>
  <c r="H120" i="8"/>
  <c r="G125" i="8"/>
  <c r="H125" i="8" s="1"/>
  <c r="H8" i="9"/>
  <c r="F15" i="3"/>
  <c r="H13" i="3"/>
  <c r="G318" i="19" l="1"/>
  <c r="G320" i="19"/>
  <c r="G112" i="9" s="1"/>
  <c r="D297" i="19"/>
  <c r="G353" i="19"/>
  <c r="G15" i="12"/>
  <c r="H350" i="19"/>
  <c r="H15" i="12" s="1"/>
  <c r="C413" i="19"/>
  <c r="H15" i="3"/>
  <c r="H123" i="8"/>
  <c r="G128" i="8"/>
  <c r="G124" i="8"/>
  <c r="H27" i="12"/>
  <c r="H10" i="13"/>
  <c r="H113" i="9"/>
  <c r="D411" i="19"/>
  <c r="C20" i="3"/>
  <c r="I28" i="12"/>
  <c r="H144" i="19"/>
  <c r="H145" i="19" s="1"/>
  <c r="H32" i="12"/>
  <c r="I32" i="12"/>
  <c r="G135" i="19"/>
  <c r="G131" i="19"/>
  <c r="I27" i="12" l="1"/>
  <c r="H343" i="19"/>
  <c r="H16" i="12"/>
  <c r="I16" i="12"/>
  <c r="I31" i="12"/>
  <c r="H31" i="12"/>
  <c r="G181" i="17"/>
  <c r="G20" i="12"/>
  <c r="G347" i="19"/>
  <c r="F339" i="19" s="1"/>
  <c r="F21" i="5" s="1"/>
  <c r="G10" i="4"/>
  <c r="H9" i="13"/>
  <c r="H112" i="9"/>
  <c r="C23" i="11"/>
  <c r="C114" i="9"/>
  <c r="C21" i="3"/>
  <c r="I10" i="13"/>
  <c r="H304" i="19"/>
  <c r="H128" i="8"/>
  <c r="H124" i="8"/>
  <c r="H20" i="12"/>
  <c r="H347" i="19"/>
  <c r="I20" i="12"/>
  <c r="I15" i="12"/>
  <c r="G323" i="19"/>
  <c r="G319" i="19"/>
  <c r="C9" i="5" l="1"/>
  <c r="D399" i="19"/>
  <c r="D11" i="13"/>
  <c r="C115" i="9"/>
  <c r="H303" i="19"/>
  <c r="I9" i="13"/>
  <c r="F25" i="5"/>
  <c r="H10" i="4"/>
  <c r="H22" i="6"/>
  <c r="G22" i="6"/>
  <c r="F3" i="21"/>
  <c r="G370" i="19"/>
  <c r="D412" i="19"/>
  <c r="H344" i="19"/>
  <c r="G3" i="21" l="1"/>
  <c r="I10" i="4"/>
  <c r="H370" i="19"/>
  <c r="D29" i="4"/>
  <c r="G339" i="19"/>
  <c r="G21" i="5" s="1"/>
  <c r="D413" i="19"/>
  <c r="D159" i="17"/>
  <c r="D160" i="17" s="1"/>
  <c r="D305" i="19"/>
  <c r="D306" i="19" s="1"/>
  <c r="C300" i="19" s="1"/>
  <c r="D12" i="13"/>
  <c r="D17" i="4" s="1"/>
  <c r="D380" i="19" l="1"/>
  <c r="C7" i="21"/>
  <c r="C11" i="5"/>
  <c r="D244" i="19"/>
  <c r="G25" i="5"/>
  <c r="H25" i="5" s="1"/>
  <c r="H21" i="5"/>
  <c r="D30" i="4"/>
  <c r="C17" i="21" s="1"/>
  <c r="D8" i="14"/>
  <c r="D9" i="14" s="1"/>
  <c r="D392" i="19"/>
  <c r="D393" i="19" s="1"/>
  <c r="C16" i="21"/>
  <c r="F211" i="2" l="1"/>
  <c r="C27" i="5" s="1"/>
  <c r="D8" i="4" l="1"/>
  <c r="C29" i="5"/>
  <c r="D247" i="19"/>
  <c r="D6" i="5"/>
  <c r="D9" i="12"/>
  <c r="D20" i="13"/>
  <c r="C405" i="19"/>
  <c r="C12" i="5" s="1"/>
  <c r="AV28" i="22"/>
  <c r="D18" i="4"/>
  <c r="D13" i="11"/>
  <c r="D18" i="3" l="1"/>
  <c r="E8" i="12"/>
  <c r="C30" i="5"/>
  <c r="D381" i="19"/>
  <c r="D383" i="19" s="1"/>
  <c r="D388" i="19" s="1"/>
  <c r="C8" i="21"/>
  <c r="D20" i="4"/>
  <c r="C17" i="5"/>
  <c r="D11" i="4"/>
  <c r="C1" i="21"/>
  <c r="D368" i="19"/>
  <c r="D371" i="19" s="1"/>
  <c r="D373" i="19" s="1"/>
  <c r="C4" i="21" l="1"/>
  <c r="D13" i="4"/>
  <c r="C34" i="5"/>
  <c r="C17" i="6"/>
  <c r="D25" i="4"/>
  <c r="C14" i="21" s="1"/>
  <c r="C18" i="6"/>
  <c r="C10" i="21"/>
  <c r="D8" i="11"/>
  <c r="D22" i="11" l="1"/>
  <c r="D25" i="11" s="1"/>
  <c r="D34" i="4"/>
  <c r="D402" i="19" s="1"/>
  <c r="C28" i="6"/>
  <c r="C6" i="21"/>
  <c r="C21" i="6"/>
  <c r="E297" i="19" l="1"/>
  <c r="D20" i="3"/>
  <c r="D114" i="9" l="1"/>
  <c r="D23" i="11"/>
  <c r="D21" i="3"/>
  <c r="D9" i="5" l="1"/>
  <c r="E399" i="19"/>
  <c r="E11" i="13"/>
  <c r="D115" i="9"/>
  <c r="E29" i="4" l="1"/>
  <c r="E159" i="17"/>
  <c r="E160" i="17" s="1"/>
  <c r="E305" i="19"/>
  <c r="E306" i="19" s="1"/>
  <c r="D300" i="19" s="1"/>
  <c r="E12" i="13"/>
  <c r="E17" i="4" s="1"/>
  <c r="D7" i="21" l="1"/>
  <c r="E380" i="19"/>
  <c r="E8" i="14"/>
  <c r="E9" i="14" s="1"/>
  <c r="E392" i="19"/>
  <c r="E393" i="19" s="1"/>
  <c r="D16" i="21"/>
  <c r="E30" i="4"/>
  <c r="D17" i="21" s="1"/>
  <c r="D11" i="5"/>
  <c r="E244" i="19"/>
  <c r="G211" i="2" l="1"/>
  <c r="E18" i="4" l="1"/>
  <c r="D405" i="19"/>
  <c r="D12" i="5" s="1"/>
  <c r="AX28" i="22"/>
  <c r="E20" i="13"/>
  <c r="D27" i="5"/>
  <c r="D29" i="5" l="1"/>
  <c r="E9" i="12"/>
  <c r="E8" i="4"/>
  <c r="E6" i="5"/>
  <c r="E247" i="19"/>
  <c r="D17" i="5"/>
  <c r="D8" i="21"/>
  <c r="E381" i="19"/>
  <c r="E383" i="19" s="1"/>
  <c r="E388" i="19" s="1"/>
  <c r="E20" i="4"/>
  <c r="D18" i="6" l="1"/>
  <c r="D17" i="6"/>
  <c r="E25" i="4"/>
  <c r="D14" i="21" s="1"/>
  <c r="D10" i="21"/>
  <c r="F8" i="12"/>
  <c r="E13" i="11"/>
  <c r="D34" i="5"/>
  <c r="E11" i="4"/>
  <c r="D1" i="21"/>
  <c r="E368" i="19"/>
  <c r="E371" i="19" s="1"/>
  <c r="E373" i="19" s="1"/>
  <c r="D30" i="5"/>
  <c r="D4" i="21" l="1"/>
  <c r="E13" i="4"/>
  <c r="E18" i="3"/>
  <c r="E8" i="11" l="1"/>
  <c r="D28" i="6"/>
  <c r="E34" i="4"/>
  <c r="E402" i="19" s="1"/>
  <c r="D21" i="6"/>
  <c r="D6" i="21"/>
  <c r="E22" i="11" l="1"/>
  <c r="E25" i="11" s="1"/>
  <c r="F297" i="19" l="1"/>
  <c r="E20" i="3"/>
  <c r="E114" i="9" l="1"/>
  <c r="E23" i="11"/>
  <c r="E21" i="3"/>
  <c r="F11" i="13" l="1"/>
  <c r="E115" i="9"/>
  <c r="E9" i="5"/>
  <c r="F399" i="19"/>
  <c r="F159" i="17" l="1"/>
  <c r="F160" i="17" s="1"/>
  <c r="F305" i="19"/>
  <c r="F306" i="19" s="1"/>
  <c r="E300" i="19" s="1"/>
  <c r="F12" i="13"/>
  <c r="F17" i="4" s="1"/>
  <c r="F29" i="4"/>
  <c r="E7" i="21" l="1"/>
  <c r="F380" i="19"/>
  <c r="F30" i="4"/>
  <c r="E17" i="21" s="1"/>
  <c r="F8" i="14"/>
  <c r="F9" i="14" s="1"/>
  <c r="F392" i="19"/>
  <c r="F393" i="19" s="1"/>
  <c r="E16" i="21"/>
  <c r="E11" i="5"/>
  <c r="F244" i="19"/>
  <c r="H211" i="2" l="1"/>
  <c r="E27" i="5" s="1"/>
  <c r="F6" i="5" l="1"/>
  <c r="F8" i="4"/>
  <c r="F247" i="19"/>
  <c r="E29" i="5"/>
  <c r="F9" i="12"/>
  <c r="F13" i="11"/>
  <c r="F20" i="13"/>
  <c r="F18" i="4"/>
  <c r="E405" i="19"/>
  <c r="E12" i="5" s="1"/>
  <c r="AZ28" i="22"/>
  <c r="F18" i="3" l="1"/>
  <c r="E30" i="5"/>
  <c r="F11" i="4"/>
  <c r="E1" i="21"/>
  <c r="F368" i="19"/>
  <c r="F371" i="19" s="1"/>
  <c r="F373" i="19" s="1"/>
  <c r="F381" i="19"/>
  <c r="F383" i="19" s="1"/>
  <c r="F388" i="19" s="1"/>
  <c r="E8" i="21"/>
  <c r="F20" i="4"/>
  <c r="E17" i="5"/>
  <c r="G8" i="12"/>
  <c r="E34" i="5" l="1"/>
  <c r="E18" i="6"/>
  <c r="F25" i="4"/>
  <c r="E14" i="21" s="1"/>
  <c r="E17" i="6"/>
  <c r="E10" i="21"/>
  <c r="F13" i="4"/>
  <c r="E4" i="21"/>
  <c r="F8" i="11"/>
  <c r="F22" i="11" l="1"/>
  <c r="F25" i="11" s="1"/>
  <c r="F34" i="4"/>
  <c r="F402" i="19" s="1"/>
  <c r="E28" i="6"/>
  <c r="E21" i="6"/>
  <c r="E6" i="21"/>
  <c r="G297" i="19" l="1"/>
  <c r="F20" i="3"/>
  <c r="F23" i="11" l="1"/>
  <c r="F114" i="9"/>
  <c r="F21" i="3"/>
  <c r="F9" i="5" l="1"/>
  <c r="G399" i="19"/>
  <c r="G11" i="13"/>
  <c r="F115" i="9"/>
  <c r="G159" i="17" l="1"/>
  <c r="G160" i="17" s="1"/>
  <c r="G305" i="19"/>
  <c r="G306" i="19" s="1"/>
  <c r="F300" i="19" s="1"/>
  <c r="G12" i="13"/>
  <c r="G17" i="4" s="1"/>
  <c r="G29" i="4"/>
  <c r="G8" i="14" l="1"/>
  <c r="G9" i="14" s="1"/>
  <c r="G392" i="19"/>
  <c r="G393" i="19" s="1"/>
  <c r="F16" i="21"/>
  <c r="G30" i="4"/>
  <c r="F17" i="21" s="1"/>
  <c r="F11" i="5"/>
  <c r="G244" i="19"/>
  <c r="G380" i="19"/>
  <c r="F7" i="21"/>
  <c r="I211" i="2" l="1"/>
  <c r="F27" i="5" s="1"/>
  <c r="G6" i="5" l="1"/>
  <c r="G9" i="12"/>
  <c r="G8" i="4"/>
  <c r="F29" i="5"/>
  <c r="G247" i="19"/>
  <c r="G18" i="4"/>
  <c r="F405" i="19"/>
  <c r="F12" i="5" s="1"/>
  <c r="BB28" i="22"/>
  <c r="G13" i="11"/>
  <c r="G20" i="13"/>
  <c r="G18" i="3" l="1"/>
  <c r="H13" i="11"/>
  <c r="G381" i="19"/>
  <c r="G383" i="19" s="1"/>
  <c r="G388" i="19" s="1"/>
  <c r="F8" i="21"/>
  <c r="G20" i="4"/>
  <c r="F30" i="5"/>
  <c r="F17" i="5"/>
  <c r="F1" i="21"/>
  <c r="G11" i="4"/>
  <c r="G368" i="19"/>
  <c r="G371" i="19" s="1"/>
  <c r="G373" i="19" s="1"/>
  <c r="H8" i="12"/>
  <c r="F4" i="21" l="1"/>
  <c r="G13" i="4"/>
  <c r="F34" i="5"/>
  <c r="F18" i="6"/>
  <c r="F17" i="6"/>
  <c r="G25" i="4"/>
  <c r="F14" i="21" s="1"/>
  <c r="F10" i="21"/>
  <c r="G8" i="11"/>
  <c r="H18" i="3"/>
  <c r="G22" i="11" l="1"/>
  <c r="G25" i="11" s="1"/>
  <c r="H8" i="11"/>
  <c r="F28" i="6"/>
  <c r="G34" i="4"/>
  <c r="G402" i="19" s="1"/>
  <c r="F21" i="6"/>
  <c r="F6" i="21"/>
  <c r="H297" i="19" l="1"/>
  <c r="H25" i="11"/>
  <c r="G20" i="3"/>
  <c r="H22" i="11"/>
  <c r="G23" i="11" l="1"/>
  <c r="H23" i="11" s="1"/>
  <c r="G114" i="9"/>
  <c r="H20" i="3"/>
  <c r="G21" i="3"/>
  <c r="G9" i="5" l="1"/>
  <c r="H21" i="3"/>
  <c r="H399" i="19"/>
  <c r="H29" i="4" s="1"/>
  <c r="H11" i="13"/>
  <c r="G115" i="9"/>
  <c r="H115" i="9" s="1"/>
  <c r="H114" i="9"/>
  <c r="I11" i="13" l="1"/>
  <c r="H305" i="19"/>
  <c r="H306" i="19" s="1"/>
  <c r="G300" i="19" s="1"/>
  <c r="H12" i="13"/>
  <c r="H17" i="4" s="1"/>
  <c r="I12" i="13"/>
  <c r="H8" i="14"/>
  <c r="H392" i="19"/>
  <c r="H393" i="19" s="1"/>
  <c r="G16" i="21"/>
  <c r="I29" i="4"/>
  <c r="I8" i="14"/>
  <c r="H30" i="4"/>
  <c r="G17" i="21" s="1"/>
  <c r="I30" i="4"/>
  <c r="H9" i="5"/>
  <c r="G11" i="5" l="1"/>
  <c r="H244" i="19"/>
  <c r="H9" i="14"/>
  <c r="I9" i="14"/>
  <c r="H380" i="19"/>
  <c r="I17" i="4"/>
  <c r="G7" i="21"/>
  <c r="J211" i="2" l="1"/>
  <c r="H11" i="5"/>
  <c r="H18" i="4" l="1"/>
  <c r="I20" i="13"/>
  <c r="G405" i="19"/>
  <c r="G12" i="5" s="1"/>
  <c r="H20" i="13"/>
  <c r="BD28" i="22"/>
  <c r="G27" i="5"/>
  <c r="H27" i="5" l="1"/>
  <c r="H9" i="12"/>
  <c r="H247" i="19"/>
  <c r="H8" i="4"/>
  <c r="G29" i="5"/>
  <c r="I9" i="12"/>
  <c r="H12" i="5"/>
  <c r="G17" i="5"/>
  <c r="H381" i="19"/>
  <c r="H383" i="19" s="1"/>
  <c r="H388" i="19" s="1"/>
  <c r="I18" i="4"/>
  <c r="G8" i="21"/>
  <c r="I20" i="4"/>
  <c r="H20" i="4"/>
  <c r="G34" i="5" l="1"/>
  <c r="H34" i="5" s="1"/>
  <c r="H17" i="5"/>
  <c r="I8" i="4"/>
  <c r="I11" i="4"/>
  <c r="G1" i="21"/>
  <c r="H11" i="4"/>
  <c r="H368" i="19"/>
  <c r="H371" i="19" s="1"/>
  <c r="H373" i="19" s="1"/>
  <c r="H25" i="4"/>
  <c r="G14" i="21" s="1"/>
  <c r="H17" i="6"/>
  <c r="G17" i="6"/>
  <c r="G18" i="6"/>
  <c r="I25" i="4"/>
  <c r="H18" i="6"/>
  <c r="G10" i="21"/>
  <c r="G30" i="5"/>
  <c r="H30" i="5" s="1"/>
  <c r="H29" i="5"/>
  <c r="I13" i="4" l="1"/>
  <c r="H13" i="4"/>
  <c r="G4" i="21"/>
  <c r="H34" i="4" l="1"/>
  <c r="G21" i="6"/>
  <c r="G28" i="6"/>
  <c r="H28" i="6" s="1"/>
  <c r="H21" i="6"/>
  <c r="G6" i="21"/>
  <c r="I34" i="4" l="1"/>
  <c r="H402" i="19"/>
</calcChain>
</file>

<file path=xl/comments1.xml><?xml version="1.0" encoding="utf-8"?>
<comments xmlns="http://schemas.openxmlformats.org/spreadsheetml/2006/main">
  <authors>
    <author>HIC</author>
  </authors>
  <commentList>
    <comment ref="A7" authorId="0" shapeId="0">
      <text>
        <r>
          <rPr>
            <b/>
            <sz val="8"/>
            <rFont val="Arial"/>
            <family val="2"/>
          </rPr>
          <t>The name of the organization for which the
financial plan is made. The name is stored in a
variable so that there is a single location where
the name can be change in ModelSheet and in
exported workbooks.
(variable Company_Name)</t>
        </r>
      </text>
    </comment>
    <comment ref="A14" authorId="0" shapeId="0">
      <text>
        <r>
          <rPr>
            <b/>
            <sz val="8"/>
            <rFont val="Arial"/>
            <family val="2"/>
          </rPr>
          <t>If you want to round sales units to whole numbers,
set to TRUE, else FALSE
(variable Sales_Units_RoundQ)</t>
        </r>
      </text>
    </comment>
    <comment ref="A18" authorId="0" shapeId="0">
      <text>
        <r>
          <rPr>
            <b/>
            <sz val="8"/>
            <rFont val="Arial"/>
            <family val="2"/>
          </rPr>
          <t>Units of products sold, segmented by product, by
time period
(variable Sales_Units_Prod_Sc1x)</t>
        </r>
      </text>
    </comment>
    <comment ref="A23" authorId="0" shapeId="0">
      <text>
        <r>
          <rPr>
            <b/>
            <sz val="8"/>
            <rFont val="Arial"/>
            <family val="2"/>
          </rPr>
          <t>Assumed annual growth rate of product sales units
in scenario 2, by time period. The model tries to
express all input growth rates in annual terms.
(variable Sales_Unit_Gr_Prod_Yr_Sc1x)</t>
        </r>
      </text>
    </comment>
    <comment ref="A33" authorId="0" shapeId="0">
      <text>
        <r>
          <rPr>
            <b/>
            <sz val="8"/>
            <rFont val="Arial"/>
            <family val="2"/>
          </rPr>
          <t>List price of products, by time period. You should
enter price data for the first time period, and
for any time period and product for which the list
price changes.
(variable Price_List_Prod)</t>
        </r>
      </text>
    </comment>
    <comment ref="A36" authorId="0" shapeId="0">
      <text>
        <r>
          <rPr>
            <b/>
            <sz val="8"/>
            <rFont val="Arial"/>
            <family val="2"/>
          </rPr>
          <t>The percentage by which average selling price of
products is reduced from list price, segmented by
product, by time period
(variable Price_Discount_pct_Prod)</t>
        </r>
      </text>
    </comment>
    <comment ref="A51" authorId="0" shapeId="0">
      <text>
        <r>
          <rPr>
            <b/>
            <sz val="8"/>
            <rFont val="Arial"/>
            <family val="2"/>
          </rPr>
          <t>The number of units of raw material per product
production unit
(variable Dir_Matl_U_per_Prodn_U)</t>
        </r>
      </text>
    </comment>
    <comment ref="A54" authorId="0" shapeId="0">
      <text>
        <r>
          <rPr>
            <b/>
            <sz val="8"/>
            <rFont val="Arial"/>
            <family val="2"/>
          </rPr>
          <t>Cost of direct material per unit of direct
material. (This is generally not the same as cost
per production unit.)
(variable Dir_Matl_Cost_per_DM_U_Prod)</t>
        </r>
      </text>
    </comment>
    <comment ref="A63" authorId="0" shapeId="0">
      <text>
        <r>
          <rPr>
            <b/>
            <sz val="8"/>
            <rFont val="Arial"/>
            <family val="2"/>
          </rPr>
          <t>Direct overhead costs per product unit produced or
acquired, segmented by product and time period.
Includes optional production learning effects. 
If you use optional production learning effects,
enter data for the first time period, and for any
product, material type, and time period in which
direct cost per unit changes.
(variable Dir_OH_Cost_per_U_Prod_In)</t>
        </r>
      </text>
    </comment>
    <comment ref="A73" authorId="0" shapeId="0">
      <text>
        <r>
          <rPr>
            <b/>
            <sz val="8"/>
            <rFont val="Arial"/>
            <family val="2"/>
          </rPr>
          <t>Employee headcount input, segmented by department
and job level, by time period. If no value is
specified, the previous value grows with revenue
(for Marketing and Sales headcount: non-deferred
revenue, excluding accruals of deferred revenue).
Each headcount number is later rounded to
half-integers.
(variable Employee_Count1_K_off)</t>
        </r>
      </text>
    </comment>
    <comment ref="A81" authorId="0" shapeId="0">
      <text>
        <r>
          <rPr>
            <b/>
            <sz val="8"/>
            <rFont val="Arial"/>
            <family val="2"/>
          </rPr>
          <t>The average annual wage to each employee,
segmented by department and job level, in the
initial time period. This variable and wage growth
yield average wages in each time period.
(variable Wage_Average_Initial_Yr)</t>
        </r>
      </text>
    </comment>
    <comment ref="A85" authorId="0" shapeId="0">
      <text>
        <r>
          <rPr>
            <b/>
            <sz val="8"/>
            <rFont val="Arial"/>
            <family val="2"/>
          </rPr>
          <t>The rate of increase of wage rates, by time
period. The variable 'Wage Increase Annual?'
determines whether this rate of increase is
interpreted as an annual rate spread over all time
periods, or as the actual rate that is applied in
each time period.
(variable Wage_Incr_pct)</t>
        </r>
      </text>
    </comment>
    <comment ref="A86" authorId="0" shapeId="0">
      <text>
        <r>
          <rPr>
            <b/>
            <sz val="8"/>
            <rFont val="Arial"/>
            <family val="2"/>
          </rPr>
          <t>Determines whether the rate of increase in wages
is interpreted as an annual rate or as the rate of
increase that is applied in each time period
(variable Wage_Incr_AnnualQ)</t>
        </r>
      </text>
    </comment>
    <comment ref="A89" authorId="0" shapeId="0">
      <text>
        <r>
          <rPr>
            <b/>
            <sz val="8"/>
            <rFont val="Arial"/>
            <family val="2"/>
          </rPr>
          <t>The size of the employee bonus pool as a
percentage of wages, by department and job level,
by time period
(variable Employee_Bonus_pct)</t>
        </r>
      </text>
    </comment>
    <comment ref="A94" authorId="0" shapeId="0">
      <text>
        <r>
          <rPr>
            <b/>
            <sz val="8"/>
            <rFont val="Arial"/>
            <family val="2"/>
          </rPr>
          <t>The percentage of revenue paid as sales
commissions on those orders that are
commissionable, by time period
(variable Sales_Commis_Rate)</t>
        </r>
      </text>
    </comment>
    <comment ref="A95" authorId="0" shapeId="0">
      <text>
        <r>
          <rPr>
            <b/>
            <sz val="8"/>
            <rFont val="Arial"/>
            <family val="2"/>
          </rPr>
          <t>The fraction of revenue on which commission is
paid, per time period.
(variable Sales_Commis_Rev_Share)</t>
        </r>
      </text>
    </comment>
    <comment ref="A97" authorId="0" shapeId="0">
      <text>
        <r>
          <rPr>
            <b/>
            <sz val="8"/>
            <rFont val="Arial"/>
            <family val="2"/>
          </rPr>
          <t>Employee benefits expense, as a percentage of
wages, excluding bonuses and commissions
(variable Wage_Benefits_pct)</t>
        </r>
      </text>
    </comment>
    <comment ref="A98" authorId="0" shapeId="0">
      <text>
        <r>
          <rPr>
            <b/>
            <sz val="8"/>
            <rFont val="Arial"/>
            <family val="2"/>
          </rPr>
          <t>Payroll tax rate as a percentage of payroll. Wages
and salaries, bonuses and commissions are taxed,
benefits are not taxed.
(variable Wage_Tax_pct)</t>
        </r>
      </text>
    </comment>
    <comment ref="A108" authorId="0" shapeId="0">
      <text>
        <r>
          <rPr>
            <b/>
            <sz val="8"/>
            <rFont val="Arial"/>
            <family val="2"/>
          </rPr>
          <t>Average office space (K sqft / person). Applies
only to space that is allocated by employee count,
not to space that is independent of employee
count.
(variable Office_Space_per_Person)</t>
        </r>
      </text>
    </comment>
    <comment ref="A109" authorId="0" shapeId="0">
      <text>
        <r>
          <rPr>
            <b/>
            <sz val="8"/>
            <rFont val="Arial"/>
            <family val="2"/>
          </rPr>
          <t>Office rental expense ($/Sqft/Yr), by time period.
Applies only to space that is allocated by
employee count, not to space that is independent
of employee count.
(variable Office_Rent_Rate_Yr)</t>
        </r>
      </text>
    </comment>
    <comment ref="A110" authorId="0" shapeId="0">
      <text>
        <r>
          <rPr>
            <b/>
            <sz val="8"/>
            <rFont val="Arial"/>
            <family val="2"/>
          </rPr>
          <t>Office utilities expense ($/Sqft/Yr), by time
period
(variable Office_Utilities_Rate_Yr)</t>
        </r>
      </text>
    </comment>
    <comment ref="A111" authorId="0" shapeId="0">
      <text>
        <r>
          <rPr>
            <b/>
            <sz val="8"/>
            <rFont val="Arial"/>
            <family val="2"/>
          </rPr>
          <t>Office maintenance expense ($/Sqft/Yr), by time
period. Applies only to space that is allocated by
employee count, not to space that is independent
of employee count.
(variable Office_Maint_Rate_Yr)</t>
        </r>
      </text>
    </comment>
    <comment ref="A112" authorId="0" shapeId="0">
      <text>
        <r>
          <rPr>
            <b/>
            <sz val="8"/>
            <rFont val="Arial"/>
            <family val="2"/>
          </rPr>
          <t>Annual facilities expense that is no proportional
to employee count
(variable Facil_Other_Exp_Yr)</t>
        </r>
      </text>
    </comment>
    <comment ref="A117" authorId="0" shapeId="0">
      <text>
        <r>
          <rPr>
            <b/>
            <sz val="8"/>
            <rFont val="Arial"/>
            <family val="2"/>
          </rPr>
          <t>General &amp; administrative expense
(variable Gen_Admin_Exp_K_off)</t>
        </r>
      </text>
    </comment>
    <comment ref="A123" authorId="0" shapeId="0">
      <text>
        <r>
          <rPr>
            <b/>
            <sz val="8"/>
            <rFont val="Arial"/>
            <family val="2"/>
          </rPr>
          <t>Annualized employee-related expense per employee,
segmented by department and by expense type, by
time period
(variable Per_Employee_Exp_Yr)</t>
        </r>
      </text>
    </comment>
    <comment ref="A137" authorId="0" shapeId="0">
      <text>
        <r>
          <rPr>
            <b/>
            <sz val="8"/>
            <rFont val="Arial"/>
            <family val="2"/>
          </rPr>
          <t>Annual interest rate on short-term debt, quoted
for each time period. The model expresses all
input interest rates in annual terms.
(variable Interest_Rate_Short_Yr)</t>
        </r>
      </text>
    </comment>
    <comment ref="A138" authorId="0" shapeId="0">
      <text>
        <r>
          <rPr>
            <b/>
            <sz val="8"/>
            <rFont val="Arial"/>
            <family val="2"/>
          </rPr>
          <t>Annual interest rate on long-term debt, quoted for
each time period. The model expresses all input
interest rates in annual terms.
(variable Interest_Rate_Long_Yr)</t>
        </r>
      </text>
    </comment>
    <comment ref="A139" authorId="0" shapeId="0">
      <text>
        <r>
          <rPr>
            <b/>
            <sz val="8"/>
            <rFont val="Arial"/>
            <family val="2"/>
          </rPr>
          <t>Interest rate earned on average cash balance
during each time period
(variable Interest_Rate_Earned_Cash_Yr)</t>
        </r>
      </text>
    </comment>
    <comment ref="A140" authorId="0" shapeId="0">
      <text>
        <r>
          <rPr>
            <b/>
            <sz val="8"/>
            <rFont val="Arial"/>
            <family val="2"/>
          </rPr>
          <t>Bad debt expense expressed as a percent of
accounts receivable, for each time period
(variable Bad_Debt_pct)</t>
        </r>
      </text>
    </comment>
    <comment ref="A144" authorId="0" shapeId="0">
      <text>
        <r>
          <rPr>
            <b/>
            <sz val="8"/>
            <rFont val="Arial"/>
            <family val="2"/>
          </rPr>
          <t>Income tax rate
(variable Income_Tax_Rate)</t>
        </r>
      </text>
    </comment>
    <comment ref="A154" authorId="0" shapeId="0">
      <text>
        <r>
          <rPr>
            <b/>
            <sz val="8"/>
            <rFont val="Arial"/>
            <family val="2"/>
          </rPr>
          <t>Initial cash balance at the start of model time
(variable Cash_Initial)</t>
        </r>
      </text>
    </comment>
    <comment ref="A157" authorId="0" shapeId="0">
      <text>
        <r>
          <rPr>
            <b/>
            <sz val="8"/>
            <rFont val="Arial"/>
            <family val="2"/>
          </rPr>
          <t>The target for cash balance at the end of each
accounting period, expressed as a number of days
of revenue. This is the key parameter in the
policy for determining the level of short-term
debt to be carried a the end of each accounting
period.
(variable Cash_Targ_Days)</t>
        </r>
      </text>
    </comment>
    <comment ref="D161" authorId="0" shapeId="0">
      <text>
        <r>
          <rPr>
            <b/>
            <sz val="8"/>
            <rFont val="Arial"/>
            <family val="2"/>
          </rPr>
          <t>Initial units of raw goods inventory at the start
of model time, segmented by direct material type
(variable Inventory_Raw_Matl_U_Init)</t>
        </r>
      </text>
    </comment>
    <comment ref="D164" authorId="0" shapeId="0">
      <text>
        <r>
          <rPr>
            <b/>
            <sz val="8"/>
            <rFont val="Arial"/>
            <family val="2"/>
          </rPr>
          <t>Initial value of finished goods inventory at the
start of model time, segmented by product
(variable Inventory_FG_Init)</t>
        </r>
      </text>
    </comment>
    <comment ref="E164" authorId="0" shapeId="0">
      <text>
        <r>
          <rPr>
            <b/>
            <sz val="8"/>
            <rFont val="Arial"/>
            <family val="2"/>
          </rPr>
          <t>Initial units of finished goods inventory at the
start of model time, segmented by product
(variable Inventory_FG_Units_Init)</t>
        </r>
      </text>
    </comment>
    <comment ref="A169" authorId="0" shapeId="0">
      <text>
        <r>
          <rPr>
            <b/>
            <sz val="8"/>
            <rFont val="Arial"/>
            <family val="2"/>
          </rPr>
          <t>Target levels of raw inventory, expressed as a
number of days of unit sales. Segmented by dierct
material type and time period. Used to compute
inventory and purchases of raw materials. 
(variable Inventory_Raw_Targ_Days)</t>
        </r>
      </text>
    </comment>
    <comment ref="A171" authorId="0" shapeId="0">
      <text>
        <r>
          <rPr>
            <b/>
            <sz val="8"/>
            <rFont val="Arial"/>
            <family val="2"/>
          </rPr>
          <t>Target level of finished inventory, expressed as a
number of days of unit sales, segmented by
product, for each time period. Used to compute
production units requirements. Rollups over
products are weighted by COGS.
(variable Inventory_FG_Targ_Days)</t>
        </r>
      </text>
    </comment>
    <comment ref="A177" authorId="0" shapeId="0">
      <text>
        <r>
          <rPr>
            <b/>
            <sz val="8"/>
            <rFont val="Arial"/>
            <family val="2"/>
          </rPr>
          <t>Initial value of accounts receivable from sale of
products, at the beginning of model time
(variable Accts_Rec_Prod_Init)</t>
        </r>
      </text>
    </comment>
    <comment ref="A180" authorId="0" shapeId="0">
      <text>
        <r>
          <rPr>
            <b/>
            <sz val="8"/>
            <rFont val="Arial"/>
            <family val="2"/>
          </rPr>
          <t>The estimated amount of accounts receivable from
sale of products, at the end of a time period,
expressed as a number of days of revenue. Used to
compute accounts receivable.
(variable Accts_Rec_Days_Prod)</t>
        </r>
      </text>
    </comment>
    <comment ref="D187" authorId="0" shapeId="0">
      <text>
        <r>
          <rPr>
            <b/>
            <sz val="8"/>
            <rFont val="Arial"/>
            <family val="2"/>
          </rPr>
          <t>Name of each tagged asset. Each tagged asset is
considered sufficiently important to separately
track its depreciation and book value.
(variable Tagged_Asset_Name)</t>
        </r>
      </text>
    </comment>
    <comment ref="E187" authorId="0" shapeId="0">
      <text>
        <r>
          <rPr>
            <b/>
            <sz val="8"/>
            <rFont val="Arial"/>
            <family val="2"/>
          </rPr>
          <t>Date on which each tagged asset was purchased
(variable Tagged_Asset_Purch_Date)</t>
        </r>
      </text>
    </comment>
    <comment ref="F187" authorId="0" shapeId="0">
      <text>
        <r>
          <rPr>
            <b/>
            <sz val="8"/>
            <rFont val="Arial"/>
            <family val="2"/>
          </rPr>
          <t>Initial asset value of each tagged asset
(variable Tagged_Asset_Init_Value)</t>
        </r>
      </text>
    </comment>
    <comment ref="G187" authorId="0" shapeId="0">
      <text>
        <r>
          <rPr>
            <b/>
            <sz val="8"/>
            <rFont val="Arial"/>
            <family val="2"/>
          </rPr>
          <t>Depreciation method for each tagged asset. Choose
one of SLN, SYD, DDB, or None.
(variable Tagged_Asset_Depr_Method)</t>
        </r>
      </text>
    </comment>
    <comment ref="H187" authorId="0" shapeId="0">
      <text>
        <r>
          <rPr>
            <b/>
            <sz val="8"/>
            <rFont val="Arial"/>
            <family val="2"/>
          </rPr>
          <t>Depreciation life of each tagged asset expressed
in years
(variable Tagged_Asset_Life_Depr_Yr)</t>
        </r>
      </text>
    </comment>
    <comment ref="I187" authorId="0" shapeId="0">
      <text>
        <r>
          <rPr>
            <b/>
            <sz val="8"/>
            <rFont val="Arial"/>
            <family val="2"/>
          </rPr>
          <t>Physical, useful life of each tagged asset
expressed in years
(variable Tagged_Asset_Life_Phys_Yr)</t>
        </r>
      </text>
    </comment>
    <comment ref="J187" authorId="0" shapeId="0">
      <text>
        <r>
          <rPr>
            <b/>
            <sz val="8"/>
            <rFont val="Arial"/>
            <family val="2"/>
          </rPr>
          <t>Salvage value of each tagged asset
(variable Tagged_Asset_Salvage_Value)</t>
        </r>
      </text>
    </comment>
    <comment ref="A200" authorId="0" shapeId="0">
      <text>
        <r>
          <rPr>
            <b/>
            <sz val="8"/>
            <rFont val="Arial"/>
            <family val="2"/>
          </rPr>
          <t>Value of accounts payable at the start of model
time, segmented by payables type
(variable Accts_Payable_Init)</t>
        </r>
      </text>
    </comment>
    <comment ref="A205" authorId="0" shapeId="0">
      <text>
        <r>
          <rPr>
            <b/>
            <sz val="8"/>
            <rFont val="Arial"/>
            <family val="2"/>
          </rPr>
          <t>The amount of accounts payables at the end of a
time period expressed as a target  number of days
of revenue. Used to compute payables.
(variable Accts_Pay_Targ_Days)</t>
        </r>
      </text>
    </comment>
    <comment ref="A211" authorId="0" shapeId="0">
      <text>
        <r>
          <rPr>
            <b/>
            <sz val="8"/>
            <rFont val="Arial"/>
            <family val="2"/>
          </rPr>
          <t>The amount of short-term debt outstanding at the
end of each time period.
This variable contains a formula that expresses a
policy: the company takes enough short-term loans
to keep cash balances equal to a target number of
days of revenue.
(variable Short_Debt)</t>
        </r>
      </text>
    </comment>
    <comment ref="A218" authorId="0" shapeId="0">
      <text>
        <r>
          <rPr>
            <b/>
            <sz val="8"/>
            <rFont val="Arial"/>
            <family val="2"/>
          </rPr>
          <t>Principal amount of long-term loans (excluding
bonds), by time period
(variable Long_Loans)</t>
        </r>
      </text>
    </comment>
    <comment ref="A227" authorId="0" shapeId="0">
      <text>
        <r>
          <rPr>
            <b/>
            <sz val="8"/>
            <rFont val="Arial"/>
            <family val="2"/>
          </rPr>
          <t>Book value of stock issued less buy-backs, by time
period.
This variable includes a formula that implements
a policy for the sale of stock based on cash
balances and recent rates of change of cash
balances.
(variable Net_Stock_Issue)</t>
        </r>
      </text>
    </comment>
    <comment ref="A229" authorId="0" shapeId="0">
      <text>
        <r>
          <rPr>
            <b/>
            <sz val="8"/>
            <rFont val="Arial"/>
            <family val="2"/>
          </rPr>
          <t>The cash dividend payment in each accounting
period.
The formula in this variable expresses a dividend
policy, based on the relationship between cash
balances and revenue, and previous dividends.</t>
        </r>
      </text>
    </comment>
  </commentList>
</comments>
</file>

<file path=xl/comments10.xml><?xml version="1.0" encoding="utf-8"?>
<comments xmlns="http://schemas.openxmlformats.org/spreadsheetml/2006/main">
  <authors>
    <author>HIC</author>
  </authors>
  <commentList>
    <comment ref="A8" authorId="0" shapeId="0">
      <text>
        <r>
          <rPr>
            <b/>
            <sz val="8"/>
            <rFont val="Arial"/>
            <family val="2"/>
          </rPr>
          <t>Financial expense = bad debt expense + interest
expense
(variable Financial_Exp)</t>
        </r>
      </text>
    </comment>
    <comment ref="A10" authorId="0" shapeId="0">
      <text>
        <r>
          <rPr>
            <b/>
            <sz val="8"/>
            <rFont val="Arial"/>
            <family val="2"/>
          </rPr>
          <t>The amount of bad debt expense in each accounting
period.
(variable Bad_Debt_Exp)</t>
        </r>
      </text>
    </comment>
    <comment ref="A11" authorId="0" shapeId="0">
      <text>
        <r>
          <rPr>
            <b/>
            <sz val="8"/>
            <rFont val="Arial"/>
            <family val="2"/>
          </rPr>
          <t>Bad debt expense expressed as a percent of
accounts receivable, for each time period
(variable Bad_Debt_pct)</t>
        </r>
      </text>
    </comment>
    <comment ref="A13" authorId="0" shapeId="0">
      <text>
        <r>
          <rPr>
            <b/>
            <sz val="8"/>
            <rFont val="Arial"/>
            <family val="2"/>
          </rPr>
          <t>Interest expense on short-term debt, long-term
loans, and bonds (including bond initiation fees),
net of interest earned on starting cash balance,
for each time period.
Use of starting cash balance is a simplification
that bypasses interdependence of interest earned
and cash balances.
(variable Interest_Exp_Net)</t>
        </r>
      </text>
    </comment>
    <comment ref="A14" authorId="0" shapeId="0">
      <text>
        <r>
          <rPr>
            <b/>
            <sz val="8"/>
            <rFont val="Arial"/>
            <family val="2"/>
          </rPr>
          <t>Annual interest rate on short-term debt, quoted
for each time period. The model expresses all
input interest rates in annual terms.
(variable Interest_Rate_Short_Yr)</t>
        </r>
      </text>
    </comment>
    <comment ref="A15" authorId="0" shapeId="0">
      <text>
        <r>
          <rPr>
            <b/>
            <sz val="8"/>
            <rFont val="Arial"/>
            <family val="2"/>
          </rPr>
          <t>Annual interest rate on long-term debt, quoted for
each time period. The model expresses all input
interest rates in annual terms.
(variable Interest_Rate_Long_Yr)</t>
        </r>
      </text>
    </comment>
    <comment ref="A16" authorId="0" shapeId="0">
      <text>
        <r>
          <rPr>
            <b/>
            <sz val="8"/>
            <rFont val="Arial"/>
            <family val="2"/>
          </rPr>
          <t>Interest rate earned on average cash balance
during each time period
(variable Interest_Rate_Earned_Cash_Yr)</t>
        </r>
      </text>
    </comment>
    <comment ref="A22" authorId="0" shapeId="0">
      <text>
        <r>
          <rPr>
            <b/>
            <sz val="8"/>
            <rFont val="Arial"/>
            <family val="2"/>
          </rPr>
          <t>Income subject to income tax. Applicable losses
carried forward from previous time periods are
already subtracted.
(variable Taxable_Income)</t>
        </r>
      </text>
    </comment>
    <comment ref="A23" authorId="0" shapeId="0">
      <text>
        <r>
          <rPr>
            <b/>
            <sz val="8"/>
            <rFont val="Arial"/>
            <family val="2"/>
          </rPr>
          <t>Income tax expense for each time period
(variable Income_Tax)</t>
        </r>
      </text>
    </comment>
    <comment ref="A24" authorId="0" shapeId="0">
      <text>
        <r>
          <rPr>
            <b/>
            <sz val="8"/>
            <rFont val="Arial"/>
            <family val="2"/>
          </rPr>
          <t>Income tax rate
(variable Income_Tax_Rate)</t>
        </r>
      </text>
    </comment>
    <comment ref="A25" authorId="0" shapeId="0">
      <text>
        <r>
          <rPr>
            <b/>
            <sz val="8"/>
            <rFont val="Arial"/>
            <family val="2"/>
          </rPr>
          <t>Losses carried forward from preivous time periods,
for use in computation of income tax expense
(variable Loss_Forward)</t>
        </r>
      </text>
    </comment>
  </commentList>
</comments>
</file>

<file path=xl/comments11.xml><?xml version="1.0" encoding="utf-8"?>
<comments xmlns="http://schemas.openxmlformats.org/spreadsheetml/2006/main">
  <authors>
    <author>HIC</author>
  </authors>
  <commentList>
    <comment ref="A8" authorId="0" shapeId="0">
      <text>
        <r>
          <rPr>
            <b/>
            <sz val="8"/>
            <rFont val="Arial"/>
            <family val="2"/>
          </rPr>
          <t>The amount of cash on hand a the start of each
time period
(variable Cash_Starting)</t>
        </r>
      </text>
    </comment>
    <comment ref="A9" authorId="0" shapeId="0">
      <text>
        <r>
          <rPr>
            <b/>
            <sz val="8"/>
            <rFont val="Arial"/>
            <family val="2"/>
          </rPr>
          <t>Cash balance at the end of each accounting period
(variable Cash)</t>
        </r>
      </text>
    </comment>
    <comment ref="A10" authorId="0" shapeId="0">
      <text>
        <r>
          <rPr>
            <b/>
            <sz val="8"/>
            <rFont val="Arial"/>
            <family val="2"/>
          </rPr>
          <t>The target for cash balance at the end of each
accounting period, expressed as a number of days
of revenue. This is the key parameter in the
policy for determining the level of short-term
debt to be carried a the end of each accounting
period.
(variable Cash_Targ_Days)</t>
        </r>
      </text>
    </comment>
    <comment ref="A12" authorId="0" shapeId="0">
      <text>
        <r>
          <rPr>
            <b/>
            <sz val="8"/>
            <rFont val="Arial"/>
            <family val="2"/>
          </rPr>
          <t>The estimated amount of accounts receivable at the
end of a time period. Product sales generate
accounts receivable; support and contract sales do
not (assuming they are included in the model).
(variable Accts_Receivable)</t>
        </r>
      </text>
    </comment>
    <comment ref="A13" authorId="0" shapeId="0">
      <text>
        <r>
          <rPr>
            <b/>
            <sz val="8"/>
            <rFont val="Arial"/>
            <family val="2"/>
          </rPr>
          <t>The estimated amount of accounts receivable from
sale of products, at the end of a time period,
expressed as a number of days of revenue. Used to
compute accounts receivable.
(variable Accts_Rec_Days_Prod)</t>
        </r>
      </text>
    </comment>
    <comment ref="A15" authorId="0" shapeId="0">
      <text>
        <r>
          <rPr>
            <b/>
            <sz val="8"/>
            <rFont val="Arial"/>
            <family val="2"/>
          </rPr>
          <t>Book value of raw materials inventory, segmented
by material type and time period. Uses LIFO
inventory accounting.
(variable Inventory_Raw_Matl)</t>
        </r>
      </text>
    </comment>
    <comment ref="A16" authorId="0" shapeId="0">
      <text>
        <r>
          <rPr>
            <b/>
            <sz val="8"/>
            <rFont val="Arial"/>
            <family val="2"/>
          </rPr>
          <t>Book value of finished inventory, segmented by
product, for each time period. Uses LIFO inventory
accounting.
(variable Inventory_FG)</t>
        </r>
      </text>
    </comment>
    <comment ref="A20" authorId="0" shapeId="0">
      <text>
        <r>
          <rPr>
            <b/>
            <sz val="8"/>
            <rFont val="Arial"/>
            <family val="2"/>
          </rPr>
          <t>Book value of raw materials inventory, segmented
by material type and time period. Uses LIFO
inventory accounting.
(variable Inventory_Raw_Matl)</t>
        </r>
      </text>
    </comment>
    <comment ref="A40" authorId="0" shapeId="0">
      <text>
        <r>
          <rPr>
            <b/>
            <sz val="8"/>
            <rFont val="Arial"/>
            <family val="2"/>
          </rPr>
          <t>Value of long term assets, including tagged and
untagged long-term assets, by time period, 
(variable Long_Assets)</t>
        </r>
      </text>
    </comment>
    <comment ref="A41" authorId="0" shapeId="0">
      <text>
        <r>
          <rPr>
            <b/>
            <sz val="8"/>
            <rFont val="Arial"/>
            <family val="2"/>
          </rPr>
          <t>Value of purchases of long term assets, including
tagged and untagged long-term assets, by time
period
(variable Long_Asset_Purch)</t>
        </r>
      </text>
    </comment>
    <comment ref="A42" authorId="0" shapeId="0">
      <text>
        <r>
          <rPr>
            <b/>
            <sz val="8"/>
            <rFont val="Arial"/>
            <family val="2"/>
          </rPr>
          <t>Depreciation expense during each accounting
period, segmented by type of asset (hardware,
software, equipment &amp; furniture)</t>
        </r>
      </text>
    </comment>
    <comment ref="B45" authorId="0" shapeId="0">
      <text>
        <r>
          <rPr>
            <b/>
            <sz val="8"/>
            <rFont val="Arial"/>
            <family val="2"/>
          </rPr>
          <t>Name of each tagged asset. Each tagged asset is
considered sufficiently important to separately
track its depreciation and book value.
(variable Tagged_Asset_Name)</t>
        </r>
      </text>
    </comment>
    <comment ref="C45" authorId="0" shapeId="0">
      <text>
        <r>
          <rPr>
            <b/>
            <sz val="8"/>
            <rFont val="Arial"/>
            <family val="2"/>
          </rPr>
          <t>Date on which each tagged asset was purchased
(variable Tagged_Asset_Purch_Date)</t>
        </r>
      </text>
    </comment>
    <comment ref="D45" authorId="0" shapeId="0">
      <text>
        <r>
          <rPr>
            <b/>
            <sz val="8"/>
            <rFont val="Arial"/>
            <family val="2"/>
          </rPr>
          <t>Depreciation method for each tagged asset. Choose
one of SLN, SYD, DDB, or None.
(variable Tagged_Asset_Depr_Method)</t>
        </r>
      </text>
    </comment>
    <comment ref="E45" authorId="0" shapeId="0">
      <text>
        <r>
          <rPr>
            <b/>
            <sz val="8"/>
            <rFont val="Arial"/>
            <family val="2"/>
          </rPr>
          <t>Depreciation life of each tagged asset expressed
in years
(variable Tagged_Asset_Life_Depr_Yr)</t>
        </r>
      </text>
    </comment>
    <comment ref="F45" authorId="0" shapeId="0">
      <text>
        <r>
          <rPr>
            <b/>
            <sz val="8"/>
            <rFont val="Arial"/>
            <family val="2"/>
          </rPr>
          <t>Initial asset value of each tagged asset
(variable Tagged_Asset_Init_Value)</t>
        </r>
      </text>
    </comment>
    <comment ref="G45" authorId="0" shapeId="0">
      <text>
        <r>
          <rPr>
            <b/>
            <sz val="8"/>
            <rFont val="Arial"/>
            <family val="2"/>
          </rPr>
          <t>Salvage value of each tagged asset
(variable Tagged_Asset_Salvage_Value)</t>
        </r>
      </text>
    </comment>
    <comment ref="A49" authorId="0" shapeId="0">
      <text>
        <r>
          <rPr>
            <b/>
            <sz val="8"/>
            <rFont val="Arial"/>
            <family val="2"/>
          </rPr>
          <t>The book value of each tagged asset, by time
period
(variable Tagged_Assets)</t>
        </r>
      </text>
    </comment>
    <comment ref="A53" authorId="0" shapeId="0">
      <text>
        <r>
          <rPr>
            <b/>
            <sz val="8"/>
            <rFont val="Arial"/>
            <family val="2"/>
          </rPr>
          <t>The purchase amount of each tagged asset, assigned
to the time period that includes the purchase
date. This variable is needed to express the
purchase value in a time-dependent table needed
for depreciation computations.
(variable Tagged_Asset_Purch)</t>
        </r>
      </text>
    </comment>
    <comment ref="A57" authorId="0" shapeId="0">
      <text>
        <r>
          <rPr>
            <b/>
            <sz val="8"/>
            <rFont val="Arial"/>
            <family val="2"/>
          </rPr>
          <t>Depreciation expense for each tagged asset, by
time period. Possible values are "SLN" (linear),
"SYD" (sum of digits), and "DDB" (double declining
balance); the default method is "SLN".
(variable Tagged_Asset_Depr)</t>
        </r>
      </text>
    </comment>
    <comment ref="A61" authorId="0" shapeId="0">
      <text>
        <r>
          <rPr>
            <b/>
            <sz val="8"/>
            <rFont val="Arial"/>
            <family val="2"/>
          </rPr>
          <t>The salvage value of each tagged asset, assigned
to the time period that includes the end of life.
This variable is needed to express the salvage
value in a time-dependent table needed for cash
flow computations.
(variable Tagged_Asset_Salvage_CF)</t>
        </r>
      </text>
    </comment>
  </commentList>
</comments>
</file>

<file path=xl/comments12.xml><?xml version="1.0" encoding="utf-8"?>
<comments xmlns="http://schemas.openxmlformats.org/spreadsheetml/2006/main">
  <authors>
    <author>HIC</author>
  </authors>
  <commentList>
    <comment ref="A8" authorId="0" shapeId="0">
      <text>
        <r>
          <rPr>
            <b/>
            <sz val="8"/>
            <rFont val="Arial"/>
            <family val="2"/>
          </rPr>
          <t>The amount of accounts payable balance at the end
of a time period. Purchases of raw inventory are
assumed purchased on a cash basis.
(variable Accts_Payable)</t>
        </r>
      </text>
    </comment>
    <comment ref="A14" authorId="0" shapeId="0">
      <text>
        <r>
          <rPr>
            <b/>
            <sz val="8"/>
            <rFont val="Arial"/>
            <family val="2"/>
          </rPr>
          <t>The amount of accounts payables at the end of a
time period measured as a number of days of
revenue
(variable Accts_Pay_Days)</t>
        </r>
      </text>
    </comment>
    <comment ref="A20" authorId="0" shapeId="0">
      <text>
        <r>
          <rPr>
            <b/>
            <sz val="8"/>
            <rFont val="Arial"/>
            <family val="2"/>
          </rPr>
          <t>The amount of short-term debt outstanding at the
end of each time period.
This variable contains a formula that expresses a
policy: the company takes enough short-term loans
to keep cash balances equal to a target number of
days of revenue.
(variable Short_Debt)</t>
        </r>
      </text>
    </comment>
    <comment ref="A26" authorId="0" shapeId="0">
      <text>
        <r>
          <rPr>
            <b/>
            <sz val="8"/>
            <rFont val="Arial"/>
            <family val="2"/>
          </rPr>
          <t>Principal amount of long-term loans (excluding
bonds), by time period
(variable Long_Loans)</t>
        </r>
      </text>
    </comment>
  </commentList>
</comments>
</file>

<file path=xl/comments13.xml><?xml version="1.0" encoding="utf-8"?>
<comments xmlns="http://schemas.openxmlformats.org/spreadsheetml/2006/main">
  <authors>
    <author>HIC</author>
  </authors>
  <commentList>
    <comment ref="A6" authorId="0" shapeId="0">
      <text>
        <r>
          <rPr>
            <b/>
            <sz val="8"/>
            <rFont val="Arial"/>
            <family val="2"/>
          </rPr>
          <t>Book value of equity, segmented by paid-in capital
and retained earnings</t>
        </r>
      </text>
    </comment>
    <comment ref="A11" authorId="0" shapeId="0">
      <text>
        <r>
          <rPr>
            <b/>
            <sz val="8"/>
            <rFont val="Arial"/>
            <family val="2"/>
          </rPr>
          <t>Book value of stock issued less buy-backs, by time
period.
This variable includes a formula that implements
a policy for the sale of stock based on cash
balances and recent rates of change of cash
balances.
(variable Net_Stock_Issue)</t>
        </r>
      </text>
    </comment>
    <comment ref="A13" authorId="0" shapeId="0">
      <text>
        <r>
          <rPr>
            <b/>
            <sz val="8"/>
            <rFont val="Arial"/>
            <family val="2"/>
          </rPr>
          <t>The cash dividend payment in each accounting
period.
The formula in this variable expresses a dividend
policy, based on the relationship between cash
balances and revenue, and previous dividends.</t>
        </r>
      </text>
    </comment>
  </commentList>
</comments>
</file>

<file path=xl/comments14.xml><?xml version="1.0" encoding="utf-8"?>
<comments xmlns="http://schemas.openxmlformats.org/spreadsheetml/2006/main">
  <authors>
    <author>HIC</author>
  </authors>
  <commentList>
    <comment ref="B4" authorId="0" shapeId="0">
      <text>
        <r>
          <rPr>
            <b/>
            <sz val="8"/>
            <rFont val="Arial"/>
            <family val="2"/>
          </rPr>
          <t>The amount of accounts payables at the end of a
time period measured as a number of days of
revenue
(variable Accts_Pay_Days)</t>
        </r>
      </text>
    </comment>
    <comment ref="B6" authorId="0" shapeId="0">
      <text>
        <r>
          <rPr>
            <b/>
            <sz val="8"/>
            <rFont val="Arial"/>
            <family val="2"/>
          </rPr>
          <t>The amount of accounts payables at the end of a
time period expressed as a target  number of days
of revenue. Used to compute payables.
(variable Accts_Pay_Targ_Days)</t>
        </r>
      </text>
    </comment>
    <comment ref="B8" authorId="0" shapeId="0">
      <text>
        <r>
          <rPr>
            <b/>
            <sz val="8"/>
            <rFont val="Arial"/>
            <family val="2"/>
          </rPr>
          <t>The amount of accounts payable balance at the end
of a time period. Purchases of raw inventory are
assumed purchased on a cash basis.
(variable Accts_Payable)</t>
        </r>
      </text>
    </comment>
    <comment ref="B10" authorId="0" shapeId="0">
      <text>
        <r>
          <rPr>
            <b/>
            <sz val="8"/>
            <rFont val="Arial"/>
            <family val="2"/>
          </rPr>
          <t>Value of accounts payable at the start of model
time, segmented by payables type
(variable Accts_Payable_Init)</t>
        </r>
      </text>
    </comment>
    <comment ref="B12" authorId="0" shapeId="0">
      <text>
        <r>
          <rPr>
            <b/>
            <sz val="8"/>
            <rFont val="Arial"/>
            <family val="2"/>
          </rPr>
          <t>The estimated amount of accounts receivable from
sale of products, at the end of a time period,
expressed as a number of days of revenue. Used to
compute accounts receivable.
(variable Accts_Rec_Days_Prod)</t>
        </r>
      </text>
    </comment>
    <comment ref="B14" authorId="0" shapeId="0">
      <text>
        <r>
          <rPr>
            <b/>
            <sz val="8"/>
            <rFont val="Arial"/>
            <family val="2"/>
          </rPr>
          <t>Initial value of accounts receivable from sale of
products, at the beginning of model time
(variable Accts_Rec_Prod_Init)</t>
        </r>
      </text>
    </comment>
    <comment ref="B16" authorId="0" shapeId="0">
      <text>
        <r>
          <rPr>
            <b/>
            <sz val="8"/>
            <rFont val="Arial"/>
            <family val="2"/>
          </rPr>
          <t>The estimated amount of accounts receivable at the
end of a time period. Product sales generate
accounts receivable; support and contract sales do
not (assuming they are included in the model).
(variable Accts_Receivable)</t>
        </r>
      </text>
    </comment>
    <comment ref="B18" authorId="0" shapeId="0">
      <text>
        <r>
          <rPr>
            <b/>
            <sz val="8"/>
            <rFont val="Arial"/>
            <family val="2"/>
          </rPr>
          <t>The ratio (revenue for each time period)/ (assets
at the end of each time period)
(variable Asset_Turnover)</t>
        </r>
      </text>
    </comment>
    <comment ref="B20" authorId="0" shapeId="0">
      <text>
        <r>
          <rPr>
            <b/>
            <sz val="8"/>
            <rFont val="Arial"/>
            <family val="2"/>
          </rPr>
          <t>The total assets of the company at the end of each
time period</t>
        </r>
      </text>
    </comment>
    <comment ref="B25" authorId="0" shapeId="0">
      <text>
        <r>
          <rPr>
            <b/>
            <sz val="8"/>
            <rFont val="Arial"/>
            <family val="2"/>
          </rPr>
          <t>The amount of bad debt expense in each accounting
period.
(variable Bad_Debt_Exp)</t>
        </r>
      </text>
    </comment>
    <comment ref="B27" authorId="0" shapeId="0">
      <text>
        <r>
          <rPr>
            <b/>
            <sz val="8"/>
            <rFont val="Arial"/>
            <family val="2"/>
          </rPr>
          <t>Bad debt expense expressed as a percent of
accounts receivable, for each time period
(variable Bad_Debt_pct)</t>
        </r>
      </text>
    </comment>
    <comment ref="B29" authorId="0" shapeId="0">
      <text>
        <r>
          <rPr>
            <b/>
            <sz val="8"/>
            <rFont val="Arial"/>
            <family val="2"/>
          </rPr>
          <t>A checksum. Equals Assets - Liabilities - Equity,
which must be zero if assets, liabilities and
equity are accounted for correctly
(variable Balance_Check)</t>
        </r>
      </text>
    </comment>
    <comment ref="B31" authorId="0" shapeId="0">
      <text>
        <r>
          <rPr>
            <b/>
            <sz val="8"/>
            <rFont val="Arial"/>
            <family val="2"/>
          </rPr>
          <t>Cash balance at the end of each accounting period
(variable Cash)</t>
        </r>
      </text>
    </comment>
    <comment ref="B33" authorId="0" shapeId="0">
      <text>
        <r>
          <rPr>
            <b/>
            <sz val="8"/>
            <rFont val="Arial"/>
            <family val="2"/>
          </rPr>
          <t>Change in cash balance by time period
(variable Cash_Flow)</t>
        </r>
      </text>
    </comment>
    <comment ref="B35" authorId="0" shapeId="0">
      <text>
        <r>
          <rPr>
            <b/>
            <sz val="8"/>
            <rFont val="Arial"/>
            <family val="2"/>
          </rPr>
          <t>A checksum for cash flow. Equals starting cash
balance + sources of cash - uses of cash - ending
cash balance, which must be zero if cash flows are
accounted for correctly.
(variable Cash_Flow_Check)</t>
        </r>
      </text>
    </comment>
    <comment ref="B37" authorId="0" shapeId="0">
      <text>
        <r>
          <rPr>
            <b/>
            <sz val="8"/>
            <rFont val="Arial"/>
            <family val="2"/>
          </rPr>
          <t>Equity cash flow at the end of each accounting
period adjusted to cancel out non-equity
transactions (such as changes in short and long
term debt and bonds)
(variable Cash_Flow_Equity)</t>
        </r>
      </text>
    </comment>
    <comment ref="B39" authorId="0" shapeId="0">
      <text>
        <r>
          <rPr>
            <b/>
            <sz val="8"/>
            <rFont val="Arial"/>
            <family val="2"/>
          </rPr>
          <t>The future cumulative product of the annualized
cash flow expectation factor (expected cash
flow)/(plan cash flow), for each time period. The
factor for the last time period applies to the
entire tail cash flow after the end of model time.
(variable Cash_Flow_Expect_Fut)</t>
        </r>
      </text>
    </comment>
    <comment ref="B41" authorId="0" shapeId="0">
      <text>
        <r>
          <rPr>
            <b/>
            <sz val="8"/>
            <rFont val="Arial"/>
            <family val="2"/>
          </rPr>
          <t>Operating cash flow by time period; that is, cash
flow adjusted to cancel out capital transactions
(dividends, sale of stock, changes in debt).
Includes short-term debt transactions, but not
long-term debt.
(variable Cash_Flow_Oper)</t>
        </r>
      </text>
    </comment>
    <comment ref="B43" authorId="0" shapeId="0">
      <text>
        <r>
          <rPr>
            <b/>
            <sz val="8"/>
            <rFont val="Arial"/>
            <family val="2"/>
          </rPr>
          <t>Initial cash balance at the start of model time
(variable Cash_Initial)</t>
        </r>
      </text>
    </comment>
    <comment ref="B45" authorId="0" shapeId="0">
      <text>
        <r>
          <rPr>
            <b/>
            <sz val="8"/>
            <rFont val="Arial"/>
            <family val="2"/>
          </rPr>
          <t>Cash balance that would be at the end of each
accounting period if the company ends the period
with no short term debt. Cash receipts and total
direct cost are used here (not revenue and cost of
goods and services). This amount is computed, then
the policy for determining the amount of short
term debt is applied, then the period-ending cash
balance can be computed.
(variable Cash_No_Short_Debt)</t>
        </r>
      </text>
    </comment>
    <comment ref="B47" authorId="0" shapeId="0">
      <text>
        <r>
          <rPr>
            <b/>
            <sz val="8"/>
            <rFont val="Arial"/>
            <family val="2"/>
          </rPr>
          <t>Total sources of cash, by time period
(variable Cash_Sources)</t>
        </r>
      </text>
    </comment>
    <comment ref="B56" authorId="0" shapeId="0">
      <text>
        <r>
          <rPr>
            <b/>
            <sz val="8"/>
            <rFont val="Arial"/>
            <family val="2"/>
          </rPr>
          <t>The amount of cash on hand a the start of each
time period
(variable Cash_Starting)</t>
        </r>
      </text>
    </comment>
    <comment ref="B58" authorId="0" shapeId="0">
      <text>
        <r>
          <rPr>
            <b/>
            <sz val="8"/>
            <rFont val="Arial"/>
            <family val="2"/>
          </rPr>
          <t>The target for cash balance at the end of each
accounting period, expressed as a number of days
of revenue. This is the key parameter in the
policy for determining the level of short-term
debt to be carried a the end of each accounting
period.
(variable Cash_Targ_Days)</t>
        </r>
      </text>
    </comment>
    <comment ref="B60" authorId="0" shapeId="0">
      <text>
        <r>
          <rPr>
            <b/>
            <sz val="8"/>
            <rFont val="Arial"/>
            <family val="2"/>
          </rPr>
          <t>Total uses of cash, by time period
(variable Cash_Uses)</t>
        </r>
      </text>
    </comment>
    <comment ref="B66" authorId="0" shapeId="0">
      <text>
        <r>
          <rPr>
            <b/>
            <sz val="8"/>
            <rFont val="Arial"/>
            <family val="2"/>
          </rPr>
          <t>Change in accounts payable from the previous
period. The model has a variable for this because
(a) this amount will be displayed in the cash flow
statement worksheet, and (b) this amount is used
in several formulas so it is convenient to store
it in a variable.
(variable Chg_Accts_Pay)</t>
        </r>
      </text>
    </comment>
    <comment ref="B68" authorId="0" shapeId="0">
      <text>
        <r>
          <rPr>
            <b/>
            <sz val="8"/>
            <rFont val="Arial"/>
            <family val="2"/>
          </rPr>
          <t>Change in accounts receivable from the previous
period. The model has a variable for this because
(a) this amount will be displayed in the cash flow
statement worksheet, and (b) this amount is used
in several formulas so it is convenient to store
it in a variable.
(variable Chg_Accts_Rec)</t>
        </r>
      </text>
    </comment>
    <comment ref="B70" authorId="0" shapeId="0">
      <text>
        <r>
          <rPr>
            <b/>
            <sz val="8"/>
            <rFont val="Arial"/>
            <family val="2"/>
          </rPr>
          <t>Change in Bond principal from the previous period.
The model has a variable for this because (a) this
amount will be displayed in the cash flow
statement worksheet, and (b) this amount is used
in several formulas so it is convenient to store
it in a variable.
(variable Chg_Bond_Principal)</t>
        </r>
      </text>
    </comment>
    <comment ref="B72" authorId="0" shapeId="0">
      <text>
        <r>
          <rPr>
            <b/>
            <sz val="8"/>
            <rFont val="Arial"/>
            <family val="2"/>
          </rPr>
          <t>Change in Bond principal from the previous period.
The model has a variable for this because (a) this
amount will be displayed in the cash flow
statement worksheet, and (b) this amount is used
in several formulas so it is convenient to store
it in a variable. This version of the variable
omits the time periods before the model start
date.
(variable Chg_Bond_Principal_short)</t>
        </r>
      </text>
    </comment>
    <comment ref="B74" authorId="0" shapeId="0">
      <text>
        <r>
          <rPr>
            <b/>
            <sz val="8"/>
            <rFont val="Arial"/>
            <family val="2"/>
          </rPr>
          <t>Change in inventory from the previous period. The
model has a variable for this because (a) this
amount will be displayed in the cash flow
statement worksheet, and (b) this amount is used
in several formulas so it is convenient to store
it in a variable.
(variable Chg_Inventory)</t>
        </r>
      </text>
    </comment>
    <comment ref="B76" authorId="0" shapeId="0">
      <text>
        <r>
          <rPr>
            <b/>
            <sz val="8"/>
            <rFont val="Arial"/>
            <family val="2"/>
          </rPr>
          <t>Change in long-term debt from the previous period,
including loans and bonds. The model has a
variable for this because (a) this amount will be
displayed in the cash flow statement worksheet,
and (b) this amount is used in several formulas so
it is convenient to store it in a variable.
(variable Chg_Long_Debt)</t>
        </r>
      </text>
    </comment>
    <comment ref="B78" authorId="0" shapeId="0">
      <text>
        <r>
          <rPr>
            <b/>
            <sz val="8"/>
            <rFont val="Arial"/>
            <family val="2"/>
          </rPr>
          <t>Change in short-term debt from the previous
period. The model has a variable for this because
(a) this amount will be displayed in the cash flow
statement worksheet, and (b) this amount is used
in several formulas so it is convenient to store
it in a variable.
(variable Chg_Short_Debt)</t>
        </r>
      </text>
    </comment>
    <comment ref="B80" authorId="0" shapeId="0">
      <text>
        <r>
          <rPr>
            <b/>
            <sz val="8"/>
            <rFont val="Arial"/>
            <family val="2"/>
          </rPr>
          <t>The name of the organization for which the
financial plan is made. The name is stored in a
variable so that there is a single location where
the name can be change in ModelSheet and in
exported workbooks.
(variable Company_Name)</t>
        </r>
      </text>
    </comment>
    <comment ref="B82" authorId="0" shapeId="0">
      <text>
        <r>
          <rPr>
            <b/>
            <sz val="8"/>
            <rFont val="Arial"/>
            <family val="2"/>
          </rPr>
          <t>The time that deferred revenue is accrued, in
years. If contract term is zero, then proceeds are
accrued as revenue in the same period they are
received.
(variable Contracts_Term_Yr)</t>
        </r>
      </text>
    </comment>
    <comment ref="B84" authorId="0" shapeId="0">
      <text>
        <r>
          <rPr>
            <b/>
            <sz val="8"/>
            <rFont val="Arial"/>
            <family val="2"/>
          </rPr>
          <t>Cost of goods and services for sales accrued per
time period, segmented by product, by cost type,
and by time. Includes cost of goods for products;
also includes cost of services for support and
contracts, if they are included in the model.
The model distinguishs COGS from direct costs for
products, because production units may not equal
units sold. This distinction is not needed for
support services or contract sales.
(variable Cost_of_Goods_n_Svcs)</t>
        </r>
      </text>
    </comment>
    <comment ref="B86" authorId="0" shapeId="0">
      <text>
        <r>
          <rPr>
            <b/>
            <sz val="8"/>
            <rFont val="Arial"/>
            <family val="2"/>
          </rPr>
          <t>Cost of goods for product units sold, segmented by
product, by cost type, and by time period
(variable Cost_of_Goods_Prod)</t>
        </r>
      </text>
    </comment>
    <comment ref="B88" authorId="0" shapeId="0">
      <text>
        <r>
          <rPr>
            <b/>
            <sz val="8"/>
            <rFont val="Arial"/>
            <family val="2"/>
          </rPr>
          <t>The accounting current ratio, equal to current
assets / current liabilities
(variable Current_Ratio)</t>
        </r>
      </text>
    </comment>
    <comment ref="B90" authorId="0" shapeId="0">
      <text>
        <r>
          <rPr>
            <b/>
            <sz val="8"/>
            <rFont val="Arial"/>
            <family val="2"/>
          </rPr>
          <t>The accounting debt ratio, equal to the total long
and short term debt divided by the total assets
(variable Debt_Ratio)</t>
        </r>
      </text>
    </comment>
    <comment ref="B92" authorId="0" shapeId="0">
      <text>
        <r>
          <rPr>
            <b/>
            <sz val="8"/>
            <rFont val="Arial"/>
            <family val="2"/>
          </rPr>
          <t>Depreciation expense during each accounting
period, segmented by type of asset (hardware,
software, equipment &amp; furniture)</t>
        </r>
      </text>
    </comment>
    <comment ref="B94" authorId="0" shapeId="0">
      <text>
        <r>
          <rPr>
            <b/>
            <sz val="8"/>
            <rFont val="Arial"/>
            <family val="2"/>
          </rPr>
          <t>Department names. Used in plots.
(variable Depts_plt)</t>
        </r>
      </text>
    </comment>
    <comment ref="B96" authorId="0" shapeId="0">
      <text>
        <r>
          <rPr>
            <b/>
            <sz val="8"/>
            <rFont val="Arial"/>
            <family val="2"/>
          </rPr>
          <t>Direct labor cost per support unit over one year,
segmented by product, by cost type, and by time
period.
(variable Dir_Labor_Cost_per_U_Sup_Yr_In)</t>
        </r>
      </text>
    </comment>
    <comment ref="B98" authorId="0" shapeId="0">
      <text>
        <r>
          <rPr>
            <b/>
            <sz val="8"/>
            <rFont val="Arial"/>
            <family val="2"/>
          </rPr>
          <t>Direct labor costs per product unit produced or
acquired, segmented by product and time period.
Includes optional production learning effects. You
should enter data for the first time period, and
for any product and time period in which direct
cost per unit changes.
(variable Dir_Labor_Cost_U_Prod_In)</t>
        </r>
      </text>
    </comment>
    <comment ref="B102" authorId="0" shapeId="0">
      <text>
        <r>
          <rPr>
            <b/>
            <sz val="8"/>
            <rFont val="Arial"/>
            <family val="2"/>
          </rPr>
          <t>Cost of direct labor for production of products
that is not applied to production
(variable Dir_Labor_Unapplied_Prod)</t>
        </r>
      </text>
    </comment>
    <comment ref="B104" authorId="0" shapeId="0">
      <text>
        <r>
          <rPr>
            <b/>
            <sz val="8"/>
            <rFont val="Arial"/>
            <family val="2"/>
          </rPr>
          <t>Percent of theoretical direct labor hours for
production that is used in production of products
(variable Dir_Labor_Util_pct_Prod)</t>
        </r>
      </text>
    </comment>
    <comment ref="B106" authorId="0" shapeId="0">
      <text>
        <r>
          <rPr>
            <b/>
            <sz val="8"/>
            <rFont val="Arial"/>
            <family val="2"/>
          </rPr>
          <t>Cost of direct material per unit of direct
material. (This is generally not the same as cost
per production unit.)
(variable Dir_Matl_Cost_per_DM_U_Prod)</t>
        </r>
      </text>
    </comment>
    <comment ref="B108" authorId="0" shapeId="0">
      <text>
        <r>
          <rPr>
            <b/>
            <sz val="8"/>
            <rFont val="Arial"/>
            <family val="2"/>
          </rPr>
          <t>Direct material costs per product unit produced or
acquired, segmented by product, material type, and
time period. 
If you use optional production learning effects,
enter data only in the first time period. Entering
data in other cells overwrites the learning curve
model.
(variable Dir_Matl_Cost_per_U_Prod)</t>
        </r>
      </text>
    </comment>
    <comment ref="B111" authorId="0" shapeId="0">
      <text>
        <r>
          <rPr>
            <b/>
            <sz val="8"/>
            <rFont val="Arial"/>
            <family val="2"/>
          </rPr>
          <t>The number of units of raw material per product
production unit
(variable Dir_Matl_U_per_Prodn_U)</t>
        </r>
      </text>
    </comment>
    <comment ref="B113" authorId="0" shapeId="0">
      <text>
        <r>
          <rPr>
            <b/>
            <sz val="8"/>
            <rFont val="Arial"/>
            <family val="2"/>
          </rPr>
          <t>Units of direct material used in production of
products. Segmented by direct material type and
time period.
(variable Dir_Matl_U_Used_Prod)</t>
        </r>
      </text>
    </comment>
    <comment ref="B115" authorId="0" shapeId="0">
      <text>
        <r>
          <rPr>
            <b/>
            <sz val="8"/>
            <rFont val="Arial"/>
            <family val="2"/>
          </rPr>
          <t>Direct overhead costs per product unit produced or
acquired, segmented by product and time period.
Includes optional production learning effects. 
If you use optional production learning effects,
enter data for the first time period, and for any
product, material type, and time period in which
direct cost per unit changes.
(variable Dir_OH_Cost_per_U_Prod_In)</t>
        </r>
      </text>
    </comment>
    <comment ref="B118" authorId="0" shapeId="0">
      <text>
        <r>
          <rPr>
            <b/>
            <sz val="8"/>
            <rFont val="Arial"/>
            <family val="2"/>
          </rPr>
          <t>Direct costs incurred in building or acquiring
product units (and support units if included in
the model), by product, by cost type, and by time
period
(variable Direct_Cost)</t>
        </r>
      </text>
    </comment>
    <comment ref="B120" authorId="0" shapeId="0">
      <text>
        <r>
          <rPr>
            <b/>
            <sz val="8"/>
            <rFont val="Arial"/>
            <family val="2"/>
          </rPr>
          <t>Direct costs per product unit produced or
acquired, segmented by product, by cost type, and
by time period. Includes optional production
learning effects. You should enter data for the
first time period, and for any product and time
period in which direct cost per unit changes.
(variable Direct_Cost_per_U_Prod)</t>
        </r>
      </text>
    </comment>
    <comment ref="B126" authorId="0" shapeId="0">
      <text>
        <r>
          <rPr>
            <b/>
            <sz val="8"/>
            <rFont val="Arial"/>
            <family val="2"/>
          </rPr>
          <t>Direct costs incurred in building or acquiring
product units, by product, by cost type, and by
time period
(variable Direct_Cost_Prod)</t>
        </r>
      </text>
    </comment>
    <comment ref="B128" authorId="0" shapeId="0">
      <text>
        <r>
          <rPr>
            <b/>
            <sz val="8"/>
            <rFont val="Arial"/>
            <family val="2"/>
          </rPr>
          <t>The factor applied to cash flow in each time
period to compute its contribution to present
value
(variable Discount_Factor)</t>
        </r>
      </text>
    </comment>
    <comment ref="B130" authorId="0" shapeId="0">
      <text>
        <r>
          <rPr>
            <b/>
            <sz val="8"/>
            <rFont val="Arial"/>
            <family val="2"/>
          </rPr>
          <t>The discount rate per time period for computing
present values
(variable Discount_Rate)</t>
        </r>
      </text>
    </comment>
    <comment ref="B132" authorId="0" shapeId="0">
      <text>
        <r>
          <rPr>
            <b/>
            <sz val="8"/>
            <rFont val="Arial"/>
            <family val="2"/>
          </rPr>
          <t>The discount rate to be used, if the
Discount_Method = "direct". Annual rate is quoted
for each time period. The model expresses all
input discount rates in annual terms.
Annualized discount rate quoted for each time
period (whether the time grain of the model is
years or not). If Discount_Method = "direct", then
the model uses this discount rate to discount cash
flows to earlier times during model time. 
A different variable, Tail Discount Rate Yr, is
used to discount cash flows in the tail time range
(after the end of model time) forward to the end
of model time.
(variable Discount_Rate_Direct_Yr)</t>
        </r>
      </text>
    </comment>
    <comment ref="B134" authorId="0" shapeId="0">
      <text>
        <r>
          <rPr>
            <b/>
            <sz val="8"/>
            <rFont val="Arial"/>
            <family val="2"/>
          </rPr>
          <t>The cash dividend payment in each accounting
period.
The formula in this variable expresses a dividend
policy, based on the relationship between cash
balances and revenue, and previous dividends.</t>
        </r>
      </text>
    </comment>
    <comment ref="B136" authorId="0" shapeId="0">
      <text>
        <r>
          <rPr>
            <b/>
            <sz val="8"/>
            <rFont val="Arial"/>
            <family val="2"/>
          </rPr>
          <t>The employee bonus pool per time period, segmented
by department
(variable Employee_Bonus)</t>
        </r>
      </text>
    </comment>
    <comment ref="B138" authorId="0" shapeId="0">
      <text>
        <r>
          <rPr>
            <b/>
            <sz val="8"/>
            <rFont val="Arial"/>
            <family val="2"/>
          </rPr>
          <t>The size of the employee bonus pool as a
percentage of wages, by department and job level,
by time period
(variable Employee_Bonus_pct)</t>
        </r>
      </text>
    </comment>
    <comment ref="B140" authorId="0" shapeId="0">
      <text>
        <r>
          <rPr>
            <b/>
            <sz val="8"/>
            <rFont val="Arial"/>
            <family val="2"/>
          </rPr>
          <t>Employee headcount, segmented by department and
job level, by time period. The employee count is
rounded to half-integers.
Headcount is determined by explicit input data,
and in some versions, by a revenue-driven formula
for later time periods.
(variable Employee_Count)</t>
        </r>
      </text>
    </comment>
    <comment ref="B142" authorId="0" shapeId="0">
      <text>
        <r>
          <rPr>
            <b/>
            <sz val="8"/>
            <rFont val="Arial"/>
            <family val="2"/>
          </rPr>
          <t>Employee headcount input, segmented by department
and job level, by time period. If no value is
specified, the previous value grows with revenue
(for Marketing and Sales headcount: non-deferred
revenue, excluding accruals of deferred revenue).
Each headcount number is later rounded to
half-integers.
(variable Employee_Count1_K_off)</t>
        </r>
      </text>
    </comment>
    <comment ref="B144" authorId="0" shapeId="0">
      <text>
        <r>
          <rPr>
            <b/>
            <sz val="8"/>
            <rFont val="Arial"/>
            <family val="2"/>
          </rPr>
          <t>The ratio (employee count at end of time period)/
(revenue for time period)
(variable Employee_per_RevM)</t>
        </r>
      </text>
    </comment>
    <comment ref="B146" authorId="0" shapeId="0">
      <text>
        <r>
          <rPr>
            <b/>
            <sz val="8"/>
            <rFont val="Arial"/>
            <family val="2"/>
          </rPr>
          <t>Employee-related expenses, segmented by department
and expense type
(variable Employee_Rel_Exp)</t>
        </r>
      </text>
    </comment>
    <comment ref="B148" authorId="0" shapeId="0">
      <text>
        <r>
          <rPr>
            <b/>
            <sz val="8"/>
            <rFont val="Arial"/>
            <family val="2"/>
          </rPr>
          <t>Book value of equity, segmented by paid-in capital
and retained earnings</t>
        </r>
      </text>
    </comment>
    <comment ref="B151" authorId="0" shapeId="0">
      <text>
        <r>
          <rPr>
            <b/>
            <sz val="8"/>
            <rFont val="Arial"/>
            <family val="2"/>
          </rPr>
          <t>Annual facilities expense that is no proportional
to employee count
(variable Facil_Other_Exp_Yr)</t>
        </r>
      </text>
    </comment>
    <comment ref="B153" authorId="0" shapeId="0">
      <text>
        <r>
          <rPr>
            <b/>
            <sz val="8"/>
            <rFont val="Arial"/>
            <family val="2"/>
          </rPr>
          <t>Facilities and utilities expense per time period,
segmented by department
(variable Facil_Util_Exp)</t>
        </r>
      </text>
    </comment>
    <comment ref="B155" authorId="0" shapeId="0">
      <text>
        <r>
          <rPr>
            <b/>
            <sz val="8"/>
            <rFont val="Arial"/>
            <family val="2"/>
          </rPr>
          <t>Financial expense = bad debt expense + interest
expense
(variable Financial_Exp)</t>
        </r>
      </text>
    </comment>
    <comment ref="B157" authorId="0" shapeId="0">
      <text>
        <r>
          <rPr>
            <b/>
            <sz val="8"/>
            <rFont val="Arial"/>
            <family val="2"/>
          </rPr>
          <t>The ratio (operating expense for the Admin
department) / revenue, by time period
(variable G_A_Exp_Ratio)</t>
        </r>
      </text>
    </comment>
    <comment ref="B159" authorId="0" shapeId="0">
      <text>
        <r>
          <rPr>
            <b/>
            <sz val="8"/>
            <rFont val="Arial"/>
            <family val="2"/>
          </rPr>
          <t>General &amp; administrative expense
(variable Gen_Admin_Exp)</t>
        </r>
      </text>
    </comment>
    <comment ref="B161" authorId="0" shapeId="0">
      <text>
        <r>
          <rPr>
            <b/>
            <sz val="8"/>
            <rFont val="Arial"/>
            <family val="2"/>
          </rPr>
          <t>General &amp; administrative expense
(variable Gen_Admin_Exp_K_off)</t>
        </r>
      </text>
    </comment>
    <comment ref="B163" authorId="0" shapeId="0">
      <text>
        <r>
          <rPr>
            <b/>
            <sz val="8"/>
            <rFont val="Arial"/>
            <family val="2"/>
          </rPr>
          <t>Gross margin amount, segmented by sales location,
for each time period
(variable Gross_Margin)</t>
        </r>
      </text>
    </comment>
    <comment ref="B165" authorId="0" shapeId="0">
      <text>
        <r>
          <rPr>
            <b/>
            <sz val="8"/>
            <rFont val="Arial"/>
            <family val="2"/>
          </rPr>
          <t>Gross margin percent (gross margin / revenue),
segmented by product and by time period
(variable Gross_Margin_pct)</t>
        </r>
      </text>
    </comment>
    <comment ref="B167" authorId="0" shapeId="0">
      <text>
        <r>
          <rPr>
            <b/>
            <sz val="8"/>
            <rFont val="Arial"/>
            <family val="2"/>
          </rPr>
          <t>Gross margin amount for products, segmented by
product, for each time period
(variable Gross_Margin_Prod)</t>
        </r>
      </text>
    </comment>
    <comment ref="B169" authorId="0" shapeId="0">
      <text>
        <r>
          <rPr>
            <b/>
            <sz val="8"/>
            <rFont val="Arial"/>
            <family val="2"/>
          </rPr>
          <t>Gross margin percent (gross margin / revenue) for
products, segmented by product and by time period
(variable Gross_Margin_Prod_pct)</t>
        </r>
      </text>
    </comment>
    <comment ref="B171" authorId="0" shapeId="0">
      <text>
        <r>
          <rPr>
            <b/>
            <sz val="8"/>
            <rFont val="Arial"/>
            <family val="2"/>
          </rPr>
          <t>Income tax expense for each time period
(variable Income_Tax)</t>
        </r>
      </text>
    </comment>
    <comment ref="B173" authorId="0" shapeId="0">
      <text>
        <r>
          <rPr>
            <b/>
            <sz val="8"/>
            <rFont val="Arial"/>
            <family val="2"/>
          </rPr>
          <t>Income tax rate
(variable Income_Tax_Rate)</t>
        </r>
      </text>
    </comment>
    <comment ref="B175" authorId="0" shapeId="0">
      <text>
        <r>
          <rPr>
            <b/>
            <sz val="8"/>
            <rFont val="Arial"/>
            <family val="2"/>
          </rPr>
          <t>Indirect labor expense, segmented by job level,
for each time period.
Sales commissions go to the Sales department,
allocated to employees proportional to wage and
salary compensation.
(variable Indir_Labor_Exp)</t>
        </r>
      </text>
    </comment>
    <comment ref="B177" authorId="0" shapeId="0">
      <text>
        <r>
          <rPr>
            <b/>
            <sz val="8"/>
            <rFont val="Arial"/>
            <family val="2"/>
          </rPr>
          <t>Interest expense on short-term debt, long-term
loans, and bonds (including bond initiation fees),
net of interest earned on starting cash balance,
for each time period.
Use of starting cash balance is a simplification
that bypasses interdependence of interest earned
and cash balances.
(variable Interest_Exp_Net)</t>
        </r>
      </text>
    </comment>
    <comment ref="B179" authorId="0" shapeId="0">
      <text>
        <r>
          <rPr>
            <b/>
            <sz val="8"/>
            <rFont val="Arial"/>
            <family val="2"/>
          </rPr>
          <t>Interest rate earned on average cash balance
during each time period
(variable Interest_Rate_Earned_Cash_Yr)</t>
        </r>
      </text>
    </comment>
    <comment ref="B181" authorId="0" shapeId="0">
      <text>
        <r>
          <rPr>
            <b/>
            <sz val="8"/>
            <rFont val="Arial"/>
            <family val="2"/>
          </rPr>
          <t>Annual interest rate on long-term debt, quoted for
each time period. The model expresses all input
interest rates in annual terms.
(variable Interest_Rate_Long_Yr)</t>
        </r>
      </text>
    </comment>
    <comment ref="B183" authorId="0" shapeId="0">
      <text>
        <r>
          <rPr>
            <b/>
            <sz val="8"/>
            <rFont val="Arial"/>
            <family val="2"/>
          </rPr>
          <t>Annual interest rate on short-term debt, quoted
for each time period. The model expresses all
input interest rates in annual terms.
(variable Interest_Rate_Short_Yr)</t>
        </r>
      </text>
    </comment>
    <comment ref="B185" authorId="0" shapeId="0">
      <text>
        <r>
          <rPr>
            <b/>
            <sz val="8"/>
            <rFont val="Arial"/>
            <family val="2"/>
          </rPr>
          <t>Book value of finished inventory, segmented by
product, for each time period. Uses LIFO inventory
accounting.
(variable Inventory_FG)</t>
        </r>
      </text>
    </comment>
    <comment ref="B187" authorId="0" shapeId="0">
      <text>
        <r>
          <rPr>
            <b/>
            <sz val="8"/>
            <rFont val="Arial"/>
            <family val="2"/>
          </rPr>
          <t>Initial value of finished goods inventory at the
start of model time, segmented by product
(variable Inventory_FG_Init)</t>
        </r>
      </text>
    </comment>
    <comment ref="B189" authorId="0" shapeId="0">
      <text>
        <r>
          <rPr>
            <b/>
            <sz val="8"/>
            <rFont val="Arial"/>
            <family val="2"/>
          </rPr>
          <t>Target level of finished inventory, expressed as a
number of days of unit sales, segmented by
product, for each time period. Used to compute
production units requirements. Rollups over
products are weighted by COGS.
(variable Inventory_FG_Targ_Days)</t>
        </r>
      </text>
    </comment>
    <comment ref="B192" authorId="0" shapeId="0">
      <text>
        <r>
          <rPr>
            <b/>
            <sz val="8"/>
            <rFont val="Arial"/>
            <family val="2"/>
          </rPr>
          <t>The ratio (annualized cost of goods) / (finished
inventory value), segmented by product, for each
time period. The model uses value instead of units
for turnover so that we can sensibly combine
turnover rates for products of different value.
(variable Inventory_FG_Turnover_Yr)</t>
        </r>
      </text>
    </comment>
    <comment ref="B194" authorId="0" shapeId="0">
      <text>
        <r>
          <rPr>
            <b/>
            <sz val="8"/>
            <rFont val="Arial"/>
            <family val="2"/>
          </rPr>
          <t>Finished inventory units, segmented by products,
at the end of each time period
(variable Inventory_FG_Units)</t>
        </r>
      </text>
    </comment>
    <comment ref="B196" authorId="0" shapeId="0">
      <text>
        <r>
          <rPr>
            <b/>
            <sz val="8"/>
            <rFont val="Arial"/>
            <family val="2"/>
          </rPr>
          <t>Initial units of finished goods inventory at the
start of model time, segmented by product
(variable Inventory_FG_Units_Init)</t>
        </r>
      </text>
    </comment>
    <comment ref="B198" authorId="0" shapeId="0">
      <text>
        <r>
          <rPr>
            <b/>
            <sz val="8"/>
            <rFont val="Arial"/>
            <family val="2"/>
          </rPr>
          <t>Book value of raw materials inventory, segmented
by material type and time period. Uses LIFO
inventory accounting.
(variable Inventory_Raw_Matl)</t>
        </r>
      </text>
    </comment>
    <comment ref="B200" authorId="0" shapeId="0">
      <text>
        <r>
          <rPr>
            <b/>
            <sz val="8"/>
            <rFont val="Arial"/>
            <family val="2"/>
          </rPr>
          <t>Initial value of raw goods inventory at the start
of model time, segmented by direct material type
(variable Inventory_Raw_Matl_Init)</t>
        </r>
      </text>
    </comment>
    <comment ref="B202" authorId="0" shapeId="0">
      <text>
        <r>
          <rPr>
            <b/>
            <sz val="8"/>
            <rFont val="Arial"/>
            <family val="2"/>
          </rPr>
          <t>Units of raw material inventory, segmented by
direct material type and time period. 
(variable Inventory_Raw_Matl_U)</t>
        </r>
      </text>
    </comment>
    <comment ref="B204" authorId="0" shapeId="0">
      <text>
        <r>
          <rPr>
            <b/>
            <sz val="8"/>
            <rFont val="Arial"/>
            <family val="2"/>
          </rPr>
          <t>Initial units of raw goods inventory at the start
of model time, segmented by direct material type
(variable Inventory_Raw_Matl_U_Init)</t>
        </r>
      </text>
    </comment>
    <comment ref="B206" authorId="0" shapeId="0">
      <text>
        <r>
          <rPr>
            <b/>
            <sz val="8"/>
            <rFont val="Arial"/>
            <family val="2"/>
          </rPr>
          <t>Target levels of raw inventory, expressed as a
number of days of unit sales. Segmented by dierct
material type and time period. Used to compute
inventory and purchases of raw materials. 
(variable Inventory_Raw_Targ_Days)</t>
        </r>
      </text>
    </comment>
    <comment ref="B208" authorId="0" shapeId="0">
      <text>
        <r>
          <rPr>
            <b/>
            <sz val="8"/>
            <rFont val="Arial"/>
            <family val="2"/>
          </rPr>
          <t>Liabilities, segmented by payables, long and short
term debt</t>
        </r>
      </text>
    </comment>
    <comment ref="B214" authorId="0" shapeId="0">
      <text>
        <r>
          <rPr>
            <b/>
            <sz val="8"/>
            <rFont val="Arial"/>
            <family val="2"/>
          </rPr>
          <t>Value of purchases of long term assets, including
tagged and untagged long-term assets, by time
period
(variable Long_Asset_Purch)</t>
        </r>
      </text>
    </comment>
    <comment ref="B216" authorId="0" shapeId="0">
      <text>
        <r>
          <rPr>
            <b/>
            <sz val="8"/>
            <rFont val="Arial"/>
            <family val="2"/>
          </rPr>
          <t>Value of long term assets, including tagged and
untagged long-term assets, by time period, 
(variable Long_Assets)</t>
        </r>
      </text>
    </comment>
    <comment ref="B218" authorId="0" shapeId="0">
      <text>
        <r>
          <rPr>
            <b/>
            <sz val="8"/>
            <rFont val="Arial"/>
            <family val="2"/>
          </rPr>
          <t>Principal amount of long-term loans (excluding
bonds), by time period
(variable Long_Loans)</t>
        </r>
      </text>
    </comment>
    <comment ref="B220" authorId="0" shapeId="0">
      <text>
        <r>
          <rPr>
            <b/>
            <sz val="8"/>
            <rFont val="Arial"/>
            <family val="2"/>
          </rPr>
          <t>Losses carried forward from preivous time periods,
for use in computation of income tax expense
(variable Loss_Forward)</t>
        </r>
      </text>
    </comment>
    <comment ref="B222" authorId="0" shapeId="0">
      <text>
        <r>
          <rPr>
            <b/>
            <sz val="8"/>
            <rFont val="Arial"/>
            <family val="2"/>
          </rPr>
          <t>The ratio marketing department expense / revenue,
by time period
(variable Mktg_Exp_Ratio)</t>
        </r>
      </text>
    </comment>
    <comment ref="B224" authorId="0" shapeId="0">
      <text>
        <r>
          <rPr>
            <b/>
            <sz val="8"/>
            <rFont val="Arial"/>
            <family val="2"/>
          </rPr>
          <t>Marketing department expense, by time period. In
early time periods, specified as explicit numbers;
in later time periods, computed using Cobb-Douglas
function of revenue
(variable Mktg_Expense)</t>
        </r>
      </text>
    </comment>
    <comment ref="B226" authorId="0" shapeId="0">
      <text>
        <r>
          <rPr>
            <b/>
            <sz val="8"/>
            <rFont val="Arial"/>
            <family val="2"/>
          </rPr>
          <t>Net income
(variable Net_Income)</t>
        </r>
      </text>
    </comment>
    <comment ref="B228" authorId="0" shapeId="0">
      <text>
        <r>
          <rPr>
            <b/>
            <sz val="8"/>
            <rFont val="Arial"/>
            <family val="2"/>
          </rPr>
          <t>Book value of stock issued less buy-backs, by time
period.
This variable includes a formula that implements
a policy for the sale of stock based on cash
balances and recent rates of change of cash
balances.
(variable Net_Stock_Issue)</t>
        </r>
      </text>
    </comment>
    <comment ref="B230" authorId="0" shapeId="0">
      <text>
        <r>
          <rPr>
            <b/>
            <sz val="8"/>
            <rFont val="Arial"/>
            <family val="2"/>
          </rPr>
          <t>Book value of stock issued less buy-backs, by time
period. This version is truncated to model time
for use in display.
(variable Net_Stock_Issue_short)</t>
        </r>
      </text>
    </comment>
    <comment ref="B232" authorId="0" shapeId="0">
      <text>
        <r>
          <rPr>
            <b/>
            <sz val="8"/>
            <rFont val="Arial"/>
            <family val="2"/>
          </rPr>
          <t>Office maintenance expense ($/Sqft/Yr), by time
period. Applies only to space that is allocated by
employee count, not to space that is independent
of employee count.
(variable Office_Maint_Rate_Yr)</t>
        </r>
      </text>
    </comment>
    <comment ref="B234" authorId="0" shapeId="0">
      <text>
        <r>
          <rPr>
            <b/>
            <sz val="8"/>
            <rFont val="Arial"/>
            <family val="2"/>
          </rPr>
          <t>Office rental expense ($/Sqft/Yr), by time period.
Applies only to space that is allocated by
employee count, not to space that is independent
of employee count.
(variable Office_Rent_Rate_Yr)</t>
        </r>
      </text>
    </comment>
    <comment ref="B236" authorId="0" shapeId="0">
      <text>
        <r>
          <rPr>
            <b/>
            <sz val="8"/>
            <rFont val="Arial"/>
            <family val="2"/>
          </rPr>
          <t>Average office space (K sqft / person). Applies
only to space that is allocated by employee count,
not to space that is independent of employee
count.
(variable Office_Space_per_Person)</t>
        </r>
      </text>
    </comment>
    <comment ref="B238" authorId="0" shapeId="0">
      <text>
        <r>
          <rPr>
            <b/>
            <sz val="8"/>
            <rFont val="Arial"/>
            <family val="2"/>
          </rPr>
          <t>Office utilities expense ($/Sqft/Yr), by time
period
(variable Office_Utilities_Rate_Yr)</t>
        </r>
      </text>
    </comment>
    <comment ref="B240" authorId="0" shapeId="0">
      <text>
        <r>
          <rPr>
            <b/>
            <sz val="8"/>
            <rFont val="Arial"/>
            <family val="2"/>
          </rPr>
          <t>The ratio operating expense / revenue, by time
period
(variable Oper_Exp_Ratio)</t>
        </r>
      </text>
    </comment>
    <comment ref="B242" authorId="0" shapeId="0">
      <text>
        <r>
          <rPr>
            <b/>
            <sz val="8"/>
            <rFont val="Arial"/>
            <family val="2"/>
          </rPr>
          <t>Operating expense, segmented by department and
expense type, by time period
(variable Operating_Exp)</t>
        </r>
      </text>
    </comment>
    <comment ref="B249" authorId="0" shapeId="0">
      <text>
        <r>
          <rPr>
            <b/>
            <sz val="8"/>
            <rFont val="Arial"/>
            <family val="2"/>
          </rPr>
          <t>Operating margin amount, per time period
(variable Operating_Margin)</t>
        </r>
      </text>
    </comment>
    <comment ref="B251" authorId="0" shapeId="0">
      <text>
        <r>
          <rPr>
            <b/>
            <sz val="8"/>
            <rFont val="Arial"/>
            <family val="2"/>
          </rPr>
          <t>The ratio operating margin / revenue, by time
period
(variable Operating_Margin_pct)</t>
        </r>
      </text>
    </comment>
    <comment ref="B253" authorId="0" shapeId="0">
      <text>
        <r>
          <rPr>
            <b/>
            <sz val="8"/>
            <rFont val="Arial"/>
            <family val="2"/>
          </rPr>
          <t>The stock of paid in capital at the end of each
time period
(variable Paid_In_Capital)</t>
        </r>
      </text>
    </comment>
    <comment ref="B255" authorId="0" shapeId="0">
      <text>
        <r>
          <rPr>
            <b/>
            <sz val="8"/>
            <rFont val="Arial"/>
            <family val="2"/>
          </rPr>
          <t>Annualized employee-related expense per employee,
segmented by department and by expense type, by
time period
(variable Per_Employee_Exp_Yr)</t>
        </r>
      </text>
    </comment>
    <comment ref="B258" authorId="0" shapeId="0">
      <text>
        <r>
          <rPr>
            <b/>
            <sz val="8"/>
            <rFont val="Arial"/>
            <family val="2"/>
          </rPr>
          <t>Average actual selling price including discounts
below list price, segmented by product, by time
period
(variable Price_Average_Prod)</t>
        </r>
      </text>
    </comment>
    <comment ref="B261" authorId="0" shapeId="0">
      <text>
        <r>
          <rPr>
            <b/>
            <sz val="8"/>
            <rFont val="Arial"/>
            <family val="2"/>
          </rPr>
          <t>The percentage by which average selling price of
products is reduced from list price, segmented by
product, by time period
(variable Price_Discount_pct_Prod)</t>
        </r>
      </text>
    </comment>
    <comment ref="B264" authorId="0" shapeId="0">
      <text>
        <r>
          <rPr>
            <b/>
            <sz val="8"/>
            <rFont val="Arial"/>
            <family val="2"/>
          </rPr>
          <t>List price of products, by time period. You should
enter price data for the first time period, and
for any time period and product for which the list
price changes.
(variable Price_List_Prod)</t>
        </r>
      </text>
    </comment>
    <comment ref="B267" authorId="0" shapeId="0">
      <text>
        <r>
          <rPr>
            <b/>
            <sz val="8"/>
            <rFont val="Arial"/>
            <family val="2"/>
          </rPr>
          <t>The number of units of product produced, segmented
by product, by time period. Production amounts are
determined by unit sales, inventory targets, and
current inventory levels
(variable Prodn_Units)</t>
        </r>
      </text>
    </comment>
    <comment ref="B269" authorId="0" shapeId="0">
      <text>
        <r>
          <rPr>
            <b/>
            <sz val="8"/>
            <rFont val="Arial"/>
            <family val="2"/>
          </rPr>
          <t>Product names. Used in plots.
(variable Products_plt)</t>
        </r>
      </text>
    </comment>
    <comment ref="B271" authorId="0" shapeId="0">
      <text>
        <r>
          <rPr>
            <b/>
            <sz val="8"/>
            <rFont val="Arial"/>
            <family val="2"/>
          </rPr>
          <t>Value of purchases of raw material, segmented by
direct material type and time period
(variable Purch_Raw_Matl)</t>
        </r>
      </text>
    </comment>
    <comment ref="B273" authorId="0" shapeId="0">
      <text>
        <r>
          <rPr>
            <b/>
            <sz val="8"/>
            <rFont val="Arial"/>
            <family val="2"/>
          </rPr>
          <t>Purchases of units of raw material, segment by
direct material time and time period
(variable Purch_Raw_Matl_U)</t>
        </r>
      </text>
    </comment>
    <comment ref="B275" authorId="0" shapeId="0">
      <text>
        <r>
          <rPr>
            <b/>
            <sz val="8"/>
            <rFont val="Arial"/>
            <family val="2"/>
          </rPr>
          <t>Units of raw material needed for production and to
meet inventory targets. Segmented by direct
material type and time period.
(variable Purch_Raw_Matl_U_Needs)</t>
        </r>
      </text>
    </comment>
    <comment ref="B277" authorId="0" shapeId="0">
      <text>
        <r>
          <rPr>
            <b/>
            <sz val="8"/>
            <rFont val="Arial"/>
            <family val="2"/>
          </rPr>
          <t>Amount of purchases, split out by goods and
services, payroll, and income taxes, per period.
Used to compute accounts payable.
(variable Purchases_Short_Term)</t>
        </r>
      </text>
    </comment>
    <comment ref="B281" authorId="0" shapeId="0">
      <text>
        <r>
          <rPr>
            <b/>
            <sz val="8"/>
            <rFont val="Arial"/>
            <family val="2"/>
          </rPr>
          <t>The ratio (short-term assets less inventory) /
short-term liabilities, by time period
(variable Quick_Ratio)</t>
        </r>
      </text>
    </comment>
    <comment ref="B283" authorId="0" shapeId="0">
      <text>
        <r>
          <rPr>
            <b/>
            <sz val="8"/>
            <rFont val="Arial"/>
            <family val="2"/>
          </rPr>
          <t>The stock of retained earnings at the end of each
time period. The value at the start of model time
is determined by the accounting identity Retained
Earnings = Assets - Liabilities - Paid_In_Capital.
(variable Retained_Earnings)</t>
        </r>
      </text>
    </comment>
    <comment ref="B285" authorId="0" shapeId="0">
      <text>
        <r>
          <rPr>
            <b/>
            <sz val="8"/>
            <rFont val="Arial"/>
            <family val="2"/>
          </rPr>
          <t>The ratio (trailing annual net income) / assets,
by time period
(variable Return_on_Assets)</t>
        </r>
      </text>
    </comment>
    <comment ref="B287" authorId="0" shapeId="0">
      <text>
        <r>
          <rPr>
            <b/>
            <sz val="8"/>
            <rFont val="Arial"/>
            <family val="2"/>
          </rPr>
          <t>The ratio (trailing annual net income) / (book
value of equity), by time period
(variable Return_on_Equity)</t>
        </r>
      </text>
    </comment>
    <comment ref="B289" authorId="0" shapeId="0">
      <text>
        <r>
          <rPr>
            <b/>
            <sz val="8"/>
            <rFont val="Arial"/>
            <family val="2"/>
          </rPr>
          <t>The ratio net income / revenue, by time period
(variable Return_on_Sales_pct)</t>
        </r>
      </text>
    </comment>
    <comment ref="B291" authorId="0" shapeId="0">
      <text>
        <r>
          <rPr>
            <b/>
            <sz val="8"/>
            <rFont val="Arial"/>
            <family val="2"/>
          </rPr>
          <t>Theoretical revenue from product sales, if sold at
list price, segmented by product, by time period.
Used to compute product price discount % and
product list prices averaged over products.
(variable Rev_at_List_Price_Prod)</t>
        </r>
      </text>
    </comment>
    <comment ref="B293" authorId="0" shapeId="0">
      <text>
        <r>
          <rPr>
            <b/>
            <sz val="8"/>
            <rFont val="Arial"/>
            <family val="2"/>
          </rPr>
          <t>Sales revenue, segmented by location and time
period. Includes product revenue, support revenue
and contract revenue. If revenue is accrued, then
accrued revenue is used here. This is revenue net
of sales returns.</t>
        </r>
      </text>
    </comment>
    <comment ref="B295" authorId="0" shapeId="0">
      <text>
        <r>
          <rPr>
            <b/>
            <sz val="8"/>
            <rFont val="Arial"/>
            <family val="2"/>
          </rPr>
          <t>Cumulative average growth rate of revenue over
model time, excluding year 1, using a least
squares fit to historical revenue, segmented by
product. This method gives a more stable estimate
of CAGR than using just the first and last period
revenues.
(variable Revenue_CAGR)</t>
        </r>
      </text>
    </comment>
    <comment ref="B297" authorId="0" shapeId="0">
      <text>
        <r>
          <rPr>
            <b/>
            <sz val="8"/>
            <rFont val="Arial"/>
            <family val="2"/>
          </rPr>
          <t>Growth rate of revenue compared to the previous
time period, segmented by product and time period.
This version replaces blanks in the display
version with zeros for computation.
(variable Revenue_Growth)</t>
        </r>
      </text>
    </comment>
    <comment ref="B299" authorId="0" shapeId="0">
      <text>
        <r>
          <rPr>
            <b/>
            <sz val="8"/>
            <rFont val="Arial"/>
            <family val="2"/>
          </rPr>
          <t>Growth rate of revenue compared to the previous
time period, segmented by product, by time period
(variable Revenue_Growth_display)</t>
        </r>
      </text>
    </comment>
    <comment ref="B301" authorId="0" shapeId="0">
      <text>
        <r>
          <rPr>
            <b/>
            <sz val="8"/>
            <rFont val="Arial"/>
            <family val="2"/>
          </rPr>
          <t>Revenue on a cash basis, segmented by location and
time period. Includes product revenue, cash
support revenue and cash contract revenue,
excluding accruals of deferred revenue, net of
sales returns.
Cash revenue drives marketing and selling
expenses. Accruals of deferred revenue do not.
(variable Revenue_Orders)</t>
        </r>
      </text>
    </comment>
    <comment ref="B303" authorId="0" shapeId="0">
      <text>
        <r>
          <rPr>
            <b/>
            <sz val="8"/>
            <rFont val="Arial"/>
            <family val="2"/>
          </rPr>
          <t>The ratio (revenue for each time period) /
(employee count at end of each time period)
(variable Revenue_per_Employee)</t>
        </r>
      </text>
    </comment>
    <comment ref="B305" authorId="0" shapeId="0">
      <text>
        <r>
          <rPr>
            <b/>
            <sz val="8"/>
            <rFont val="Arial"/>
            <family val="2"/>
          </rPr>
          <t>Sales revenue, segmented by product, by time
period. Computed as average selling price * sales
units. This is revenue net of sales returns.
(variable Revenue_Prod)</t>
        </r>
      </text>
    </comment>
    <comment ref="B307" authorId="0" shapeId="0">
      <text>
        <r>
          <rPr>
            <b/>
            <sz val="8"/>
            <rFont val="Arial"/>
            <family val="2"/>
          </rPr>
          <t>Growth rate of product revenue compared to the
previous time period, segmented by product, by
time period
(variable Revenue_Prod_Growth)</t>
        </r>
      </text>
    </comment>
    <comment ref="B309" authorId="0" shapeId="0">
      <text>
        <r>
          <rPr>
            <b/>
            <sz val="8"/>
            <rFont val="Arial"/>
            <family val="2"/>
          </rPr>
          <t>Growth rate of product revenue compared to the
previous time period, segmented by product, by
time period
(variable Revenue_Prod_Growth_display)</t>
        </r>
      </text>
    </comment>
    <comment ref="B311" authorId="0" shapeId="0">
      <text>
        <r>
          <rPr>
            <b/>
            <sz val="8"/>
            <rFont val="Arial"/>
            <family val="2"/>
          </rPr>
          <t>The percentage of revenue paid as sales
commissions on those orders that are
commissionable, by time period
(variable Sales_Commis_Rate)</t>
        </r>
      </text>
    </comment>
    <comment ref="B313" authorId="0" shapeId="0">
      <text>
        <r>
          <rPr>
            <b/>
            <sz val="8"/>
            <rFont val="Arial"/>
            <family val="2"/>
          </rPr>
          <t>The fraction of revenue on which commission is
paid, per time period.
(variable Sales_Commis_Rev_Share)</t>
        </r>
      </text>
    </comment>
    <comment ref="B315" authorId="0" shapeId="0">
      <text>
        <r>
          <rPr>
            <b/>
            <sz val="8"/>
            <rFont val="Arial"/>
            <family val="2"/>
          </rPr>
          <t>Sales commission expense paid only on
commissionable sales, without employee benefits or
wage taxes, by time period. Commissions are paid
when orders are placed (not when deferred revenues
are accrued).
If no department has the name "Sales", then sales
commissions may not be included in operating
expenses.
(variable Sales_Commission)</t>
        </r>
      </text>
    </comment>
    <comment ref="B317" authorId="0" shapeId="0">
      <text>
        <r>
          <rPr>
            <b/>
            <sz val="8"/>
            <rFont val="Arial"/>
            <family val="2"/>
          </rPr>
          <t>Assumed annual growth rate of product sales units
in scenario 2, by time period. The model tries to
express all input growth rates in annual terms.
(variable Sales_Unit_Gr_Prod_Yr_Sc1x)</t>
        </r>
      </text>
    </comment>
    <comment ref="B319" authorId="0" shapeId="0">
      <text>
        <r>
          <rPr>
            <b/>
            <sz val="8"/>
            <rFont val="Arial"/>
            <family val="2"/>
          </rPr>
          <t>Measured growth rate of product sales units. This
differs from the input assumption for growth rate
because of integer rounding of sales units. This
version replaces blanks in the display version
with zeros for computation.
(variable Sales_Unit_Growth_Prod)</t>
        </r>
      </text>
    </comment>
    <comment ref="B321" authorId="0" shapeId="0">
      <text>
        <r>
          <rPr>
            <b/>
            <sz val="8"/>
            <rFont val="Arial"/>
            <family val="2"/>
          </rPr>
          <t>Measured growth rate of product sales units. This
differs from the input assumption for growth rate
because of integer rounding of sales units.
(variable Sales_Unit_Growth_Prod_display)</t>
        </r>
      </text>
    </comment>
    <comment ref="B323" authorId="0" shapeId="0">
      <text>
        <r>
          <rPr>
            <b/>
            <sz val="8"/>
            <rFont val="Arial"/>
            <family val="2"/>
          </rPr>
          <t>Assumed growth rate of product sales units, by
time period. Based on the scenario the modeler
specifies.
(variable Sales_Unit_Growth_Prod_In)</t>
        </r>
      </text>
    </comment>
    <comment ref="B325" authorId="0" shapeId="0">
      <text>
        <r>
          <rPr>
            <b/>
            <sz val="8"/>
            <rFont val="Arial"/>
            <family val="2"/>
          </rPr>
          <t>Units of products sold, segmented by product, by
time period
(variable Sales_Units_Prod)</t>
        </r>
      </text>
    </comment>
    <comment ref="B327" authorId="0" shapeId="0">
      <text>
        <r>
          <rPr>
            <b/>
            <sz val="8"/>
            <rFont val="Arial"/>
            <family val="2"/>
          </rPr>
          <t>Units of products sold, segmented by product, by
time period
(variable Sales_Units_Prod_Sc1x)</t>
        </r>
      </text>
    </comment>
    <comment ref="B329" authorId="0" shapeId="0">
      <text>
        <r>
          <rPr>
            <b/>
            <sz val="8"/>
            <rFont val="Arial"/>
            <family val="2"/>
          </rPr>
          <t>If you want to round sales units to whole numbers,
set to TRUE, else FALSE
(variable Sales_Units_RoundQ)</t>
        </r>
      </text>
    </comment>
    <comment ref="B331" authorId="0" shapeId="0">
      <text>
        <r>
          <rPr>
            <b/>
            <sz val="8"/>
            <rFont val="Arial"/>
            <family val="2"/>
          </rPr>
          <t>The ratio (sales department expense) / revenue, by
time period
(variable Selling_Exp_Ratio)</t>
        </r>
      </text>
    </comment>
    <comment ref="B333" authorId="0" shapeId="0">
      <text>
        <r>
          <rPr>
            <b/>
            <sz val="8"/>
            <rFont val="Arial"/>
            <family val="2"/>
          </rPr>
          <t>The amount of short-term debt outstanding at the
end of each time period.
This variable contains a formula that expresses a
policy: the company takes enough short-term loans
to keep cash balances equal to a target number of
days of revenue.
(variable Short_Debt)</t>
        </r>
      </text>
    </comment>
    <comment ref="B335" authorId="0" shapeId="0">
      <text>
        <r>
          <rPr>
            <b/>
            <sz val="8"/>
            <rFont val="Arial"/>
            <family val="2"/>
          </rPr>
          <t>Depreciation expense for each tagged asset, by
time period. Possible values are "SLN" (linear),
"SYD" (sum of digits), and "DDB" (double declining
balance); the default method is "SLN".
(variable Tagged_Asset_Depr)</t>
        </r>
      </text>
    </comment>
    <comment ref="B337" authorId="0" shapeId="0">
      <text>
        <r>
          <rPr>
            <b/>
            <sz val="8"/>
            <rFont val="Arial"/>
            <family val="2"/>
          </rPr>
          <t>Depreciation method for each tagged asset. Choose
one of SLN, SYD, DDB, or None.
(variable Tagged_Asset_Depr_Method)</t>
        </r>
      </text>
    </comment>
    <comment ref="B339" authorId="0" shapeId="0">
      <text>
        <r>
          <rPr>
            <b/>
            <sz val="8"/>
            <rFont val="Arial"/>
            <family val="2"/>
          </rPr>
          <t>Variable that counts how many time periods have
passed during the life of each tagged asset, for
each time period. Negative before period
purchased. Zero during period purchased. Constant
after end of life. Used as input to depreciation
functions that require the number of the time
period for which depreciation is computed.
Code: -1 means before the period of purchase, 0
means the period in which the asset is purchased,
-2 means after end of life.
(variable Tagged_Asset_Depr_Period)</t>
        </r>
      </text>
    </comment>
    <comment ref="B341" authorId="0" shapeId="0">
      <text>
        <r>
          <rPr>
            <b/>
            <sz val="8"/>
            <rFont val="Arial"/>
            <family val="2"/>
          </rPr>
          <t>Initial asset value of each tagged asset
(variable Tagged_Asset_Init_Value)</t>
        </r>
      </text>
    </comment>
    <comment ref="B343" authorId="0" shapeId="0">
      <text>
        <r>
          <rPr>
            <b/>
            <sz val="8"/>
            <rFont val="Arial"/>
            <family val="2"/>
          </rPr>
          <t>Depreciation life of each tagged asset expressed
in periods of model time
(variable Tagged_Asset_Life_Depr_Period)</t>
        </r>
      </text>
    </comment>
    <comment ref="B345" authorId="0" shapeId="0">
      <text>
        <r>
          <rPr>
            <b/>
            <sz val="8"/>
            <rFont val="Arial"/>
            <family val="2"/>
          </rPr>
          <t>Depreciation life of each tagged asset expressed
in years
(variable Tagged_Asset_Life_Depr_Yr)</t>
        </r>
      </text>
    </comment>
    <comment ref="B347" authorId="0" shapeId="0">
      <text>
        <r>
          <rPr>
            <b/>
            <sz val="8"/>
            <rFont val="Arial"/>
            <family val="2"/>
          </rPr>
          <t>Depreciation life of each tagged asset expressed
in periods of model time
(variable Tagged_Asset_Life_Phys_Period)</t>
        </r>
      </text>
    </comment>
    <comment ref="B349" authorId="0" shapeId="0">
      <text>
        <r>
          <rPr>
            <b/>
            <sz val="8"/>
            <rFont val="Arial"/>
            <family val="2"/>
          </rPr>
          <t>Physical, useful life of each tagged asset
expressed in years
(variable Tagged_Asset_Life_Phys_Yr)</t>
        </r>
      </text>
    </comment>
    <comment ref="B351" authorId="0" shapeId="0">
      <text>
        <r>
          <rPr>
            <b/>
            <sz val="8"/>
            <rFont val="Arial"/>
            <family val="2"/>
          </rPr>
          <t>Name of each tagged asset. Each tagged asset is
considered sufficiently important to separately
track its depreciation and book value.
(variable Tagged_Asset_Name)</t>
        </r>
      </text>
    </comment>
    <comment ref="B353" authorId="0" shapeId="0">
      <text>
        <r>
          <rPr>
            <b/>
            <sz val="8"/>
            <rFont val="Arial"/>
            <family val="2"/>
          </rPr>
          <t>The purchase amount of each tagged asset, assigned
to the time period that includes the purchase
date. This variable is needed to express the
purchase value in a time-dependent table needed
for depreciation computations.
(variable Tagged_Asset_Purch)</t>
        </r>
      </text>
    </comment>
    <comment ref="B355" authorId="0" shapeId="0">
      <text>
        <r>
          <rPr>
            <b/>
            <sz val="8"/>
            <rFont val="Arial"/>
            <family val="2"/>
          </rPr>
          <t>Date on which each tagged asset was purchased
(variable Tagged_Asset_Purch_Date)</t>
        </r>
      </text>
    </comment>
    <comment ref="B357" authorId="0" shapeId="0">
      <text>
        <r>
          <rPr>
            <b/>
            <sz val="8"/>
            <rFont val="Arial"/>
            <family val="2"/>
          </rPr>
          <t>The salvage value of each tagged asset, assigned
to the time period that includes the end of life.
This variable is needed to express the salvage
value in a time-dependent table needed for cash
flow computations.
(variable Tagged_Asset_Salvage_CF)</t>
        </r>
      </text>
    </comment>
    <comment ref="B359" authorId="0" shapeId="0">
      <text>
        <r>
          <rPr>
            <b/>
            <sz val="8"/>
            <rFont val="Arial"/>
            <family val="2"/>
          </rPr>
          <t>Salvage value of each tagged asset
(variable Tagged_Asset_Salvage_Value)</t>
        </r>
      </text>
    </comment>
    <comment ref="B361" authorId="0" shapeId="0">
      <text>
        <r>
          <rPr>
            <b/>
            <sz val="8"/>
            <rFont val="Arial"/>
            <family val="2"/>
          </rPr>
          <t>The book value of each tagged asset, by time
period
(variable Tagged_Assets)</t>
        </r>
      </text>
    </comment>
    <comment ref="B363" authorId="0" shapeId="0">
      <text>
        <r>
          <rPr>
            <b/>
            <sz val="8"/>
            <rFont val="Arial"/>
            <family val="2"/>
          </rPr>
          <t>Income subject to income tax. Applicable losses
carried forward from previous time periods are
already subtracted.
(variable Taxable_Income)</t>
        </r>
      </text>
    </comment>
    <comment ref="B365" authorId="0" shapeId="0">
      <text>
        <r>
          <rPr>
            <b/>
            <sz val="8"/>
            <rFont val="Arial"/>
            <family val="2"/>
          </rPr>
          <t>This variable counts time in years, starting from
the beginning of model time. For example, it
increases in value by 0.25 each quarter. Used in
several computations.</t>
        </r>
      </text>
    </comment>
    <comment ref="B367" authorId="0" shapeId="0">
      <text>
        <r>
          <rPr>
            <b/>
            <sz val="8"/>
            <rFont val="Arial"/>
            <family val="2"/>
          </rPr>
          <t>Counts time in periods of model time, starting
from the beginning of model time
(variable Time_Period)</t>
        </r>
      </text>
    </comment>
    <comment ref="B369" authorId="0" shapeId="0">
      <text>
        <r>
          <rPr>
            <b/>
            <sz val="8"/>
            <rFont val="Arial"/>
            <family val="2"/>
          </rPr>
          <t>The value of past untagged asset purchases that
reach end of life in the current time period
(variable Untagged_Asset_Purch_Lagged)</t>
        </r>
      </text>
    </comment>
    <comment ref="B371" authorId="0" shapeId="0">
      <text>
        <r>
          <rPr>
            <b/>
            <sz val="8"/>
            <rFont val="Arial"/>
            <family val="2"/>
          </rPr>
          <t>The average wage payment per time period to each
employee, segmented by department and job level
(variable Wage_Average)</t>
        </r>
      </text>
    </comment>
    <comment ref="B374" authorId="0" shapeId="0">
      <text>
        <r>
          <rPr>
            <b/>
            <sz val="8"/>
            <rFont val="Arial"/>
            <family val="2"/>
          </rPr>
          <t>The average annual wage to each employee,
segmented by department and job level, in the
initial time period. This variable and wage growth
yield average wages in each time period.
(variable Wage_Average_Initial_Yr)</t>
        </r>
      </text>
    </comment>
    <comment ref="B376" authorId="0" shapeId="0">
      <text>
        <r>
          <rPr>
            <b/>
            <sz val="8"/>
            <rFont val="Arial"/>
            <family val="2"/>
          </rPr>
          <t>Employee benefits expense, as a percentage of
wages, excluding bonuses and commissions
(variable Wage_Benefits_pct)</t>
        </r>
      </text>
    </comment>
    <comment ref="B378" authorId="0" shapeId="0">
      <text>
        <r>
          <rPr>
            <b/>
            <sz val="8"/>
            <rFont val="Arial"/>
            <family val="2"/>
          </rPr>
          <t>Wage expense excluding benefits, payroll taxes,
bonuses and commissions
(variable Wage_Expense)</t>
        </r>
      </text>
    </comment>
    <comment ref="B380" authorId="0" shapeId="0">
      <text>
        <r>
          <rPr>
            <b/>
            <sz val="8"/>
            <rFont val="Arial"/>
            <family val="2"/>
          </rPr>
          <t>Determines whether the rate of increase in wages
is interpreted as an annual rate or as the rate of
increase that is applied in each time period
(variable Wage_Incr_AnnualQ)</t>
        </r>
      </text>
    </comment>
    <comment ref="B382" authorId="0" shapeId="0">
      <text>
        <r>
          <rPr>
            <b/>
            <sz val="8"/>
            <rFont val="Arial"/>
            <family val="2"/>
          </rPr>
          <t>The rate of increase of wage rates, by time
period. The variable 'Wage Increase Annual?'
determines whether this rate of increase is
interpreted as an annual rate spread over all time
periods, or as the actual rate that is applied in
each time period.
(variable Wage_Incr_pct)</t>
        </r>
      </text>
    </comment>
    <comment ref="B384" authorId="0" shapeId="0">
      <text>
        <r>
          <rPr>
            <b/>
            <sz val="8"/>
            <rFont val="Arial"/>
            <family val="2"/>
          </rPr>
          <t>The rate of increase of wage rates that is applied
in each time period, segmented by department and
job level
(variable Wage_incr_period_pct)</t>
        </r>
      </text>
    </comment>
    <comment ref="B386" authorId="0" shapeId="0">
      <text>
        <r>
          <rPr>
            <b/>
            <sz val="8"/>
            <rFont val="Arial"/>
            <family val="2"/>
          </rPr>
          <t>Payroll tax rate as a percentage of payroll. Wages
and salaries, bonuses and commissions are taxed,
benefits are not taxed.
(variable Wage_Tax_pct)</t>
        </r>
      </text>
    </comment>
  </commentList>
</comments>
</file>

<file path=xl/comments15.xml><?xml version="1.0" encoding="utf-8"?>
<comments xmlns="http://schemas.openxmlformats.org/spreadsheetml/2006/main">
  <authors>
    <author>HIC</author>
  </authors>
  <commentList>
    <comment ref="A5" authorId="0" shapeId="0">
      <text>
        <r>
          <rPr>
            <b/>
            <sz val="8"/>
            <rFont val="Arial"/>
            <family val="2"/>
          </rPr>
          <t>Department names. Used in plots.
(variable Depts_plt)</t>
        </r>
      </text>
    </comment>
    <comment ref="A9" authorId="0" shapeId="0">
      <text>
        <r>
          <rPr>
            <b/>
            <sz val="8"/>
            <rFont val="Arial"/>
            <family val="2"/>
          </rPr>
          <t>Product names. Used in plots.
(variable Products_plt)</t>
        </r>
      </text>
    </comment>
  </commentList>
</comments>
</file>

<file path=xl/comments16.xml><?xml version="1.0" encoding="utf-8"?>
<comments xmlns="http://schemas.openxmlformats.org/spreadsheetml/2006/main">
  <authors>
    <author>HIC</author>
  </authors>
  <commentList>
    <comment ref="A3" authorId="0" shapeId="0">
      <text>
        <r>
          <rPr>
            <b/>
            <sz val="8"/>
            <rFont val="Arial"/>
            <family val="2"/>
          </rPr>
          <t>Units of products sold, segmented by product, by
time period
(variable Sales_Units_Prod_Sc1x)</t>
        </r>
      </text>
    </comment>
    <comment ref="A17" authorId="0" shapeId="0">
      <text>
        <r>
          <rPr>
            <b/>
            <sz val="8"/>
            <rFont val="Arial"/>
            <family val="2"/>
          </rPr>
          <t>Assumed growth rate of product sales units, by
time period. Based on the scenario the modeler
specifies.
(variable Sales_Unit_Growth_Prod_In)</t>
        </r>
      </text>
    </comment>
    <comment ref="A31" authorId="0" shapeId="0">
      <text>
        <r>
          <rPr>
            <b/>
            <sz val="8"/>
            <rFont val="Arial"/>
            <family val="2"/>
          </rPr>
          <t>Assumed annual growth rate of product sales units
in scenario 2, by time period. The model tries to
express all input growth rates in annual terms.
(variable Sales_Unit_Gr_Prod_Yr_Sc1x)</t>
        </r>
      </text>
    </comment>
    <comment ref="A45" authorId="0" shapeId="0">
      <text>
        <r>
          <rPr>
            <b/>
            <sz val="8"/>
            <rFont val="Arial"/>
            <family val="2"/>
          </rPr>
          <t>Theoretical revenue from product sales, if sold at
list price, segmented by product, by time period.
Used to compute product price discount % and
product list prices averaged over products.
(variable Rev_at_List_Price_Prod)</t>
        </r>
      </text>
    </comment>
    <comment ref="A59" authorId="0" shapeId="0">
      <text>
        <r>
          <rPr>
            <b/>
            <sz val="8"/>
            <rFont val="Arial"/>
            <family val="2"/>
          </rPr>
          <t>Direct overhead costs per product unit produced or
acquired, segmented by product and time period.
Includes optional production learning effects. 
If you use optional production learning effects,
enter data for the first time period, and for any
product, material type, and time period in which
direct cost per unit changes.
(variable Dir_OH_Cost_per_U_Prod_In)</t>
        </r>
      </text>
    </comment>
    <comment ref="A64" authorId="0" shapeId="0">
      <text>
        <r>
          <rPr>
            <b/>
            <sz val="8"/>
            <rFont val="Arial"/>
            <family val="2"/>
          </rPr>
          <t>Target level of finished inventory, expressed as a
number of days of unit sales, segmented by
product, for each time period. Used to compute
production units requirements. Rollups over
products are weighted by COGS.
(variable Inventory_FG_Targ_Days)</t>
        </r>
      </text>
    </comment>
    <comment ref="A69" authorId="0" shapeId="0">
      <text>
        <r>
          <rPr>
            <b/>
            <sz val="8"/>
            <rFont val="Arial"/>
            <family val="2"/>
          </rPr>
          <t>Cost of goods for product units sold, segmented by
product, by cost type, and by time period
(variable Cost_of_Goods_Prod)</t>
        </r>
      </text>
    </comment>
    <comment ref="A119" authorId="0" shapeId="0">
      <text>
        <r>
          <rPr>
            <b/>
            <sz val="8"/>
            <rFont val="Arial"/>
            <family val="2"/>
          </rPr>
          <t>Direct costs per product unit produced or
acquired, segmented by product, by cost type, and
by time period. Includes optional production
learning effects. You should enter data for the
first time period, and for any product and time
period in which direct cost per unit changes.
(variable Direct_Cost_per_U_Prod)</t>
        </r>
      </text>
    </comment>
    <comment ref="A136" authorId="0" shapeId="0">
      <text>
        <r>
          <rPr>
            <b/>
            <sz val="8"/>
            <rFont val="Arial"/>
            <family val="2"/>
          </rPr>
          <t>Direct material costs per product unit produced or
acquired, segmented by product, material type, and
time period. 
If you use optional production learning effects,
enter data only in the first time period. Entering
data in other cells overwrites the learning curve
model.
(variable Dir_Matl_Cost_per_U_Prod)</t>
        </r>
      </text>
    </comment>
    <comment ref="A141" authorId="0" shapeId="0">
      <text>
        <r>
          <rPr>
            <b/>
            <sz val="8"/>
            <rFont val="Arial"/>
            <family val="2"/>
          </rPr>
          <t>Finished inventory units, segmented by products,
at the end of each time period
(variable Inventory_FG_Units)</t>
        </r>
      </text>
    </comment>
    <comment ref="A146" authorId="0" shapeId="0">
      <text>
        <r>
          <rPr>
            <b/>
            <sz val="8"/>
            <rFont val="Arial"/>
            <family val="2"/>
          </rPr>
          <t>This variable counts time in years, starting from
the beginning of model time. For example, it
increases in value by 0.25 each quarter. Used in
several computations.</t>
        </r>
      </text>
    </comment>
    <comment ref="A149" authorId="0" shapeId="0">
      <text>
        <r>
          <rPr>
            <b/>
            <sz val="8"/>
            <rFont val="Arial"/>
            <family val="2"/>
          </rPr>
          <t>Initial units of finished goods inventory at the
start of model time, segmented by product
(variable Inventory_FG_Units_Init)</t>
        </r>
      </text>
    </comment>
    <comment ref="A154" authorId="0" shapeId="0">
      <text>
        <r>
          <rPr>
            <b/>
            <sz val="8"/>
            <rFont val="Arial"/>
            <family val="2"/>
          </rPr>
          <t>Employee headcount input, segmented by department
and job level, by time period. If no value is
specified, the previous value grows with revenue
(for Marketing and Sales headcount: non-deferred
revenue, excluding accruals of deferred revenue).
Each headcount number is later rounded to
half-integers.
(variable Employee_Count1_K_off)</t>
        </r>
      </text>
    </comment>
    <comment ref="A168" authorId="0" shapeId="0">
      <text>
        <r>
          <rPr>
            <b/>
            <sz val="8"/>
            <rFont val="Arial"/>
            <family val="2"/>
          </rPr>
          <t>Revenue on a cash basis, segmented by location and
time period. Includes product revenue, cash
support revenue and cash contract revenue,
excluding accruals of deferred revenue, net of
sales returns.
Cash revenue drives marketing and selling
expenses. Accruals of deferred revenue do not.
(variable Revenue_Orders)</t>
        </r>
      </text>
    </comment>
    <comment ref="A173" authorId="0" shapeId="0">
      <text>
        <r>
          <rPr>
            <b/>
            <sz val="8"/>
            <rFont val="Arial"/>
            <family val="2"/>
          </rPr>
          <t>The average annual wage to each employee,
segmented by department and job level, in the
initial time period. This variable and wage growth
yield average wages in each time period.
(variable Wage_Average_Initial_Yr)</t>
        </r>
      </text>
    </comment>
    <comment ref="A178" authorId="0" shapeId="0">
      <text>
        <r>
          <rPr>
            <b/>
            <sz val="8"/>
            <rFont val="Arial"/>
            <family val="2"/>
          </rPr>
          <t>The size of the employee bonus pool as a
percentage of wages, by department and job level,
by time period
(variable Employee_Bonus_pct)</t>
        </r>
      </text>
    </comment>
    <comment ref="A192" authorId="0" shapeId="0">
      <text>
        <r>
          <rPr>
            <b/>
            <sz val="8"/>
            <rFont val="Arial"/>
            <family val="2"/>
          </rPr>
          <t>Annualized employee-related expense per employee,
segmented by department and by expense type, by
time period
(variable Per_Employee_Exp_Yr)</t>
        </r>
      </text>
    </comment>
    <comment ref="A209" authorId="0" shapeId="0">
      <text>
        <r>
          <rPr>
            <b/>
            <sz val="8"/>
            <rFont val="Arial"/>
            <family val="2"/>
          </rPr>
          <t>Initial value of finished goods inventory at the
start of model time, segmented by product
(variable Inventory_FG_Init)</t>
        </r>
      </text>
    </comment>
    <comment ref="A214" authorId="0" shapeId="0">
      <text>
        <r>
          <rPr>
            <b/>
            <sz val="8"/>
            <rFont val="Arial"/>
            <family val="2"/>
          </rPr>
          <t>Initial asset value of each tagged asset
(variable Tagged_Asset_Init_Value)</t>
        </r>
      </text>
    </comment>
    <comment ref="A218" authorId="0" shapeId="0">
      <text>
        <r>
          <rPr>
            <b/>
            <sz val="8"/>
            <rFont val="Arial"/>
            <family val="2"/>
          </rPr>
          <t>Depreciation life of each tagged asset expressed
in years
(variable Tagged_Asset_Life_Depr_Yr)</t>
        </r>
      </text>
    </comment>
    <comment ref="A222" authorId="0" shapeId="0">
      <text>
        <r>
          <rPr>
            <b/>
            <sz val="8"/>
            <rFont val="Arial"/>
            <family val="2"/>
          </rPr>
          <t>Physical, useful life of each tagged asset
expressed in years
(variable Tagged_Asset_Life_Phys_Yr)</t>
        </r>
      </text>
    </comment>
    <comment ref="A226" authorId="0" shapeId="0">
      <text>
        <r>
          <rPr>
            <b/>
            <sz val="8"/>
            <rFont val="Arial"/>
            <family val="2"/>
          </rPr>
          <t>Salvage value of each tagged asset
(variable Tagged_Asset_Salvage_Value)</t>
        </r>
      </text>
    </comment>
    <comment ref="A230" authorId="0" shapeId="0">
      <text>
        <r>
          <rPr>
            <b/>
            <sz val="8"/>
            <rFont val="Arial"/>
            <family val="2"/>
          </rPr>
          <t>Value of accounts payable at the start of model
time, segmented by payables type
(variable Accts_Payable_Init)</t>
        </r>
      </text>
    </comment>
    <comment ref="A236" authorId="0" shapeId="0">
      <text>
        <r>
          <rPr>
            <b/>
            <sz val="8"/>
            <rFont val="Arial"/>
            <family val="2"/>
          </rPr>
          <t>The amount of accounts payables at the end of a
time period expressed as a target  number of days
of revenue. Used to compute payables.
(variable Accts_Pay_Targ_Days)</t>
        </r>
      </text>
    </comment>
    <comment ref="A242" authorId="0" shapeId="0">
      <text>
        <r>
          <rPr>
            <b/>
            <sz val="8"/>
            <rFont val="Arial"/>
            <family val="2"/>
          </rPr>
          <t>Cash balance that would be at the end of each
accounting period if the company ends the period
with no short term debt. Cash receipts and total
direct cost are used here (not revenue and cost of
goods and services). This amount is computed, then
the policy for determining the amount of short
term debt is applied, then the period-ending cash
balance can be computed.
(variable Cash_No_Short_Debt)</t>
        </r>
      </text>
    </comment>
    <comment ref="A245" authorId="0" shapeId="0">
      <text>
        <r>
          <rPr>
            <b/>
            <sz val="8"/>
            <rFont val="Arial"/>
            <family val="2"/>
          </rPr>
          <t>Cash balance at the end of each accounting period
(variable Cash)</t>
        </r>
      </text>
    </comment>
    <comment ref="A248" authorId="0" shapeId="0">
      <text>
        <r>
          <rPr>
            <b/>
            <sz val="8"/>
            <rFont val="Arial"/>
            <family val="2"/>
          </rPr>
          <t>The rate of increase of wage rates that is applied
in each time period, segmented by department and
job level
(variable Wage_incr_period_pct)</t>
        </r>
      </text>
    </comment>
    <comment ref="A251" authorId="0" shapeId="0">
      <text>
        <r>
          <rPr>
            <b/>
            <sz val="8"/>
            <rFont val="Arial"/>
            <family val="2"/>
          </rPr>
          <t>Sales commission expense paid only on
commissionable sales, without employee benefits or
wage taxes, by time period. Commissions are paid
when orders are placed (not when deferred revenues
are accrued).
If no department has the name "Sales", then sales
commissions may not be included in operating
expenses.
(variable Sales_Commission)</t>
        </r>
      </text>
    </comment>
    <comment ref="A254" authorId="0" shapeId="0">
      <text>
        <r>
          <rPr>
            <b/>
            <sz val="8"/>
            <rFont val="Arial"/>
            <family val="2"/>
          </rPr>
          <t>The estimated amount of accounts receivable at the
end of a time period. Product sales generate
accounts receivable; support and contract sales do
not (assuming they are included in the model).
(variable Accts_Receivable)</t>
        </r>
      </text>
    </comment>
    <comment ref="A257" authorId="0" shapeId="0">
      <text>
        <r>
          <rPr>
            <b/>
            <sz val="8"/>
            <rFont val="Arial"/>
            <family val="2"/>
          </rPr>
          <t>Gross margin amount for products, segmented by
product, for each time period
(variable Gross_Margin_Prod)</t>
        </r>
      </text>
    </comment>
    <comment ref="A271" authorId="0" shapeId="0">
      <text>
        <r>
          <rPr>
            <b/>
            <sz val="8"/>
            <rFont val="Arial"/>
            <family val="2"/>
          </rPr>
          <t>Depreciation expense for each tagged asset, by
time period. Possible values are "SLN" (linear),
"SYD" (sum of digits), and "DDB" (double declining
balance); the default method is "SLN".
(variable Tagged_Asset_Depr)</t>
        </r>
      </text>
    </comment>
    <comment ref="A275" authorId="0" shapeId="0">
      <text>
        <r>
          <rPr>
            <b/>
            <sz val="8"/>
            <rFont val="Arial"/>
            <family val="2"/>
          </rPr>
          <t>Variable that counts how many time periods have
passed during the life of each tagged asset, for
each time period. Negative before period
purchased. Zero during period purchased. Constant
after end of life. Used as input to depreciation
functions that require the number of the time
period for which depreciation is computed.
Code: -1 means before the period of purchase, 0
means the period in which the asset is purchased,
-2 means after end of life.
(variable Tagged_Asset_Depr_Period)</t>
        </r>
      </text>
    </comment>
    <comment ref="A279" authorId="0" shapeId="0">
      <text>
        <r>
          <rPr>
            <b/>
            <sz val="8"/>
            <rFont val="Arial"/>
            <family val="2"/>
          </rPr>
          <t>Depreciation life of each tagged asset expressed
in periods of model time
(variable Tagged_Asset_Life_Depr_Period)</t>
        </r>
      </text>
    </comment>
    <comment ref="A283" authorId="0" shapeId="0">
      <text>
        <r>
          <rPr>
            <b/>
            <sz val="8"/>
            <rFont val="Arial"/>
            <family val="2"/>
          </rPr>
          <t>The book value of each tagged asset, by time
period
(variable Tagged_Assets)</t>
        </r>
      </text>
    </comment>
    <comment ref="A287" authorId="0" shapeId="0">
      <text>
        <r>
          <rPr>
            <b/>
            <sz val="8"/>
            <rFont val="Arial"/>
            <family val="2"/>
          </rPr>
          <t>The salvage value of each tagged asset, assigned
to the time period that includes the end of life.
This variable is needed to express the salvage
value in a time-dependent table needed for cash
flow computations.
(variable Tagged_Asset_Salvage_CF)</t>
        </r>
      </text>
    </comment>
    <comment ref="A291" authorId="0" shapeId="0">
      <text>
        <r>
          <rPr>
            <b/>
            <sz val="8"/>
            <rFont val="Arial"/>
            <family val="2"/>
          </rPr>
          <t>Depreciation life of each tagged asset expressed
in periods of model time
(variable Tagged_Asset_Life_Phys_Period)</t>
        </r>
      </text>
    </comment>
    <comment ref="A295" authorId="0" shapeId="0">
      <text>
        <r>
          <rPr>
            <b/>
            <sz val="8"/>
            <rFont val="Arial"/>
            <family val="2"/>
          </rPr>
          <t>Losses carried forward from preivous time periods,
for use in computation of income tax expense
(variable Loss_Forward)</t>
        </r>
      </text>
    </comment>
    <comment ref="A298" authorId="0" shapeId="0">
      <text>
        <r>
          <rPr>
            <b/>
            <sz val="8"/>
            <rFont val="Arial"/>
            <family val="2"/>
          </rPr>
          <t>Change in accounts payable from the previous
period. The model has a variable for this because
(a) this amount will be displayed in the cash flow
statement worksheet, and (b) this amount is used
in several formulas so it is convenient to store
it in a variable.
(variable Chg_Accts_Pay)</t>
        </r>
      </text>
    </comment>
    <comment ref="A301" authorId="0" shapeId="0">
      <text>
        <r>
          <rPr>
            <b/>
            <sz val="8"/>
            <rFont val="Arial"/>
            <family val="2"/>
          </rPr>
          <t>The amount of accounts payable balance at the end
of a time period. Purchases of raw inventory are
assumed purchased on a cash basis.
(variable Accts_Payable)</t>
        </r>
      </text>
    </comment>
    <comment ref="A307" authorId="0" shapeId="0">
      <text>
        <r>
          <rPr>
            <b/>
            <sz val="8"/>
            <rFont val="Arial"/>
            <family val="2"/>
          </rPr>
          <t>Direct costs incurred in building or acquiring
product units (and support units if included in
the model), by product, by cost type, and by time
period
(variable Direct_Cost)</t>
        </r>
      </text>
    </comment>
    <comment ref="A324" authorId="0" shapeId="0">
      <text>
        <r>
          <rPr>
            <b/>
            <sz val="8"/>
            <rFont val="Arial"/>
            <family val="2"/>
          </rPr>
          <t>Value of purchases of long term assets, including
tagged and untagged long-term assets, by time
period
(variable Long_Asset_Purch)</t>
        </r>
      </text>
    </comment>
    <comment ref="A327" authorId="0" shapeId="0">
      <text>
        <r>
          <rPr>
            <b/>
            <sz val="8"/>
            <rFont val="Arial"/>
            <family val="2"/>
          </rPr>
          <t>The purchase amount of each tagged asset, assigned
to the time period that includes the purchase
date. This variable is needed to express the
purchase value in a time-dependent table needed
for depreciation computations.
(variable Tagged_Asset_Purch)</t>
        </r>
      </text>
    </comment>
    <comment ref="A331" authorId="0" shapeId="0">
      <text>
        <r>
          <rPr>
            <b/>
            <sz val="8"/>
            <rFont val="Arial"/>
            <family val="2"/>
          </rPr>
          <t>Change in long-term debt from the previous period,
including loans and bonds. The model has a
variable for this because (a) this amount will be
displayed in the cash flow statement worksheet,
and (b) this amount is used in several formulas so
it is convenient to store it in a variable.
(variable Chg_Long_Debt)</t>
        </r>
      </text>
    </comment>
    <comment ref="A334" authorId="0" shapeId="0">
      <text>
        <r>
          <rPr>
            <b/>
            <sz val="8"/>
            <rFont val="Arial"/>
            <family val="2"/>
          </rPr>
          <t>Change in accounts receivable from the previous
period. The model has a variable for this because
(a) this amount will be displayed in the cash flow
statement worksheet, and (b) this amount is used
in several formulas so it is convenient to store
it in a variable.
(variable Chg_Accts_Rec)</t>
        </r>
      </text>
    </comment>
    <comment ref="A337" authorId="0" shapeId="0">
      <text>
        <r>
          <rPr>
            <b/>
            <sz val="8"/>
            <rFont val="Arial"/>
            <family val="2"/>
          </rPr>
          <t>Change in inventory from the previous period. The
model has a variable for this because (a) this
amount will be displayed in the cash flow
statement worksheet, and (b) this amount is used
in several formulas so it is convenient to store
it in a variable.
(variable Chg_Inventory)</t>
        </r>
      </text>
    </comment>
    <comment ref="A340" authorId="0" shapeId="0">
      <text>
        <r>
          <rPr>
            <b/>
            <sz val="8"/>
            <rFont val="Arial"/>
            <family val="2"/>
          </rPr>
          <t>Book value of finished inventory, segmented by
product, for each time period. Uses LIFO inventory
accounting.
(variable Inventory_FG)</t>
        </r>
      </text>
    </comment>
    <comment ref="A345" authorId="0" shapeId="0">
      <text>
        <r>
          <rPr>
            <b/>
            <sz val="8"/>
            <rFont val="Arial"/>
            <family val="2"/>
          </rPr>
          <t>Book value of raw materials inventory, segmented
by material type and time period. Uses LIFO
inventory accounting.
(variable Inventory_Raw_Matl)</t>
        </r>
      </text>
    </comment>
    <comment ref="A348" authorId="0" shapeId="0">
      <text>
        <r>
          <rPr>
            <b/>
            <sz val="8"/>
            <rFont val="Arial"/>
            <family val="2"/>
          </rPr>
          <t>Units of raw material inventory, segmented by
direct material type and time period. 
(variable Inventory_Raw_Matl_U)</t>
        </r>
      </text>
    </comment>
    <comment ref="A351" authorId="0" shapeId="0">
      <text>
        <r>
          <rPr>
            <b/>
            <sz val="8"/>
            <rFont val="Arial"/>
            <family val="2"/>
          </rPr>
          <t>Purchases of units of raw material, segment by
direct material time and time period
(variable Purch_Raw_Matl_U)</t>
        </r>
      </text>
    </comment>
    <comment ref="A354" authorId="0" shapeId="0">
      <text>
        <r>
          <rPr>
            <b/>
            <sz val="8"/>
            <rFont val="Arial"/>
            <family val="2"/>
          </rPr>
          <t>Units of direct material used in production of
products. Segmented by direct material type and
time period.
(variable Dir_Matl_U_Used_Prod)</t>
        </r>
      </text>
    </comment>
    <comment ref="A357" authorId="0" shapeId="0">
      <text>
        <r>
          <rPr>
            <b/>
            <sz val="8"/>
            <rFont val="Arial"/>
            <family val="2"/>
          </rPr>
          <t>Units of raw material needed for production and to
meet inventory targets. Segmented by direct
material type and time period.
(variable Purch_Raw_Matl_U_Needs)</t>
        </r>
      </text>
    </comment>
    <comment ref="A360" authorId="0" shapeId="0">
      <text>
        <r>
          <rPr>
            <b/>
            <sz val="8"/>
            <rFont val="Arial"/>
            <family val="2"/>
          </rPr>
          <t>Growth rate of revenue compared to the previous
time period, segmented by product and time period.
This version replaces blanks in the display
version with zeros for computation.
(variable Revenue_Growth)</t>
        </r>
      </text>
    </comment>
    <comment ref="A365" authorId="0" shapeId="0">
      <text>
        <r>
          <rPr>
            <b/>
            <sz val="8"/>
            <rFont val="Arial"/>
            <family val="2"/>
          </rPr>
          <t>The total assets of the company at the end of each
time period</t>
        </r>
      </text>
    </comment>
    <comment ref="A374" authorId="0" shapeId="0">
      <text>
        <r>
          <rPr>
            <b/>
            <sz val="8"/>
            <rFont val="Arial"/>
            <family val="2"/>
          </rPr>
          <t>Value of long term assets, including tagged and
untagged long-term assets, by time period, 
(variable Long_Assets)</t>
        </r>
      </text>
    </comment>
    <comment ref="A377" authorId="0" shapeId="0">
      <text>
        <r>
          <rPr>
            <b/>
            <sz val="8"/>
            <rFont val="Arial"/>
            <family val="2"/>
          </rPr>
          <t>Liabilities, segmented by payables, long and short
term debt</t>
        </r>
      </text>
    </comment>
    <comment ref="A389" authorId="0" shapeId="0">
      <text>
        <r>
          <rPr>
            <b/>
            <sz val="8"/>
            <rFont val="Arial"/>
            <family val="2"/>
          </rPr>
          <t>Book value of equity, segmented by paid-in capital
and retained earnings</t>
        </r>
      </text>
    </comment>
    <comment ref="A394" authorId="0" shapeId="0">
      <text>
        <r>
          <rPr>
            <b/>
            <sz val="8"/>
            <rFont val="Arial"/>
            <family val="2"/>
          </rPr>
          <t>The stock of paid in capital at the end of each
time period
(variable Paid_In_Capital)</t>
        </r>
      </text>
    </comment>
    <comment ref="A397" authorId="0" shapeId="0">
      <text>
        <r>
          <rPr>
            <b/>
            <sz val="8"/>
            <rFont val="Arial"/>
            <family val="2"/>
          </rPr>
          <t>The stock of retained earnings at the end of each
time period. The value at the start of model time
is determined by the accounting identity Retained
Earnings = Assets - Liabilities - Paid_In_Capital.
(variable Retained_Earnings)</t>
        </r>
      </text>
    </comment>
    <comment ref="A400" authorId="0" shapeId="0">
      <text>
        <r>
          <rPr>
            <b/>
            <sz val="8"/>
            <rFont val="Arial"/>
            <family val="2"/>
          </rPr>
          <t>A checksum. Equals Assets - Liabilities - Equity,
which must be zero if assets, liabilities and
equity are accounted for correctly
(variable Balance_Check)</t>
        </r>
      </text>
    </comment>
    <comment ref="A403" authorId="0" shapeId="0">
      <text>
        <r>
          <rPr>
            <b/>
            <sz val="8"/>
            <rFont val="Arial"/>
            <family val="2"/>
          </rPr>
          <t>Change in short-term debt from the previous
period. The model has a variable for this because
(a) this amount will be displayed in the cash flow
statement worksheet, and (b) this amount is used
in several formulas so it is convenient to store
it in a variable.
(variable Chg_Short_Debt)</t>
        </r>
      </text>
    </comment>
    <comment ref="A406" authorId="0" shapeId="0">
      <text>
        <r>
          <rPr>
            <b/>
            <sz val="8"/>
            <rFont val="Arial"/>
            <family val="2"/>
          </rPr>
          <t>Change in Bond principal from the previous period.
The model has a variable for this because (a) this
amount will be displayed in the cash flow
statement worksheet, and (b) this amount is used
in several formulas so it is convenient to store
it in a variable.
(variable Chg_Bond_Principal)</t>
        </r>
      </text>
    </comment>
    <comment ref="A409" authorId="0" shapeId="0">
      <text>
        <r>
          <rPr>
            <b/>
            <sz val="8"/>
            <rFont val="Arial"/>
            <family val="2"/>
          </rPr>
          <t>The ratio (annualized cost of goods) / (finished
inventory value), segmented by product, for each
time period. The model uses value instead of units
for turnover so that we can sensibly combine
turnover rates for products of different value.
(variable Inventory_FG_Turnover_Yr)</t>
        </r>
      </text>
    </comment>
    <comment ref="A414" authorId="0" shapeId="0">
      <text>
        <r>
          <rPr>
            <b/>
            <sz val="8"/>
            <rFont val="Arial"/>
            <family val="2"/>
          </rPr>
          <t>The ratio (revenue for each time period) /
(employee count at end of each time period)
(variable Revenue_per_Employee)</t>
        </r>
      </text>
    </comment>
  </commentList>
</comments>
</file>

<file path=xl/comments2.xml><?xml version="1.0" encoding="utf-8"?>
<comments xmlns="http://schemas.openxmlformats.org/spreadsheetml/2006/main">
  <authors>
    <author>HIC</author>
  </authors>
  <commentList>
    <comment ref="A6" authorId="0" shapeId="0">
      <text>
        <r>
          <rPr>
            <b/>
            <sz val="8"/>
            <rFont val="Arial"/>
            <family val="2"/>
          </rPr>
          <t>Sales revenue, segmented by location and time
period. Includes product revenue, support revenue
and contract revenue. If revenue is accrued, then
accrued revenue is used here. This is revenue net
of sales returns.</t>
        </r>
      </text>
    </comment>
    <comment ref="A7" authorId="0" shapeId="0">
      <text>
        <r>
          <rPr>
            <b/>
            <sz val="8"/>
            <rFont val="Arial"/>
            <family val="2"/>
          </rPr>
          <t>Growth rate of revenue compared to the previous
time period, segmented by product, by time period
(variable Revenue_Growth_display)</t>
        </r>
      </text>
    </comment>
    <comment ref="A9" authorId="0" shapeId="0">
      <text>
        <r>
          <rPr>
            <b/>
            <sz val="8"/>
            <rFont val="Arial"/>
            <family val="2"/>
          </rPr>
          <t>Cost of goods and services for sales accrued per
time period, segmented by product, by cost type,
and by time. Includes cost of goods for products;
also includes cost of services for support and
contracts, if they are included in the model.
The model distinguishs COGS from direct costs for
products, because production units may not equal
units sold. This distinction is not needed for
support services or contract sales.
(variable Cost_of_Goods_n_Svcs)</t>
        </r>
      </text>
    </comment>
    <comment ref="A10" authorId="0" shapeId="0">
      <text>
        <r>
          <rPr>
            <b/>
            <sz val="8"/>
            <rFont val="Arial"/>
            <family val="2"/>
          </rPr>
          <t>Gross margin amount, segmented by sales location,
for each time period
(variable Gross_Margin)</t>
        </r>
      </text>
    </comment>
    <comment ref="A11" authorId="0" shapeId="0">
      <text>
        <r>
          <rPr>
            <b/>
            <sz val="8"/>
            <rFont val="Arial"/>
            <family val="2"/>
          </rPr>
          <t>Gross margin percent (gross margin / revenue),
segmented by product and by time period
(variable Gross_Margin_pct)</t>
        </r>
      </text>
    </comment>
    <comment ref="A13" authorId="0" shapeId="0">
      <text>
        <r>
          <rPr>
            <b/>
            <sz val="8"/>
            <rFont val="Arial"/>
            <family val="2"/>
          </rPr>
          <t>Operating expense, segmented by department and
expense type, by time period
(variable Operating_Exp)</t>
        </r>
      </text>
    </comment>
    <comment ref="A14" authorId="0" shapeId="0">
      <text>
        <r>
          <rPr>
            <b/>
            <sz val="8"/>
            <rFont val="Arial"/>
            <family val="2"/>
          </rPr>
          <t>Cost of direct labor for production of products
that is not applied to production
(variable Dir_Labor_Unapplied_Prod)</t>
        </r>
      </text>
    </comment>
    <comment ref="A15" authorId="0" shapeId="0">
      <text>
        <r>
          <rPr>
            <b/>
            <sz val="8"/>
            <rFont val="Arial"/>
            <family val="2"/>
          </rPr>
          <t>Operating margin amount, per time period
(variable Operating_Margin)</t>
        </r>
      </text>
    </comment>
    <comment ref="A16" authorId="0" shapeId="0">
      <text>
        <r>
          <rPr>
            <b/>
            <sz val="8"/>
            <rFont val="Arial"/>
            <family val="2"/>
          </rPr>
          <t>The ratio operating margin / revenue, by time
period
(variable Operating_Margin_pct)</t>
        </r>
      </text>
    </comment>
    <comment ref="A18" authorId="0" shapeId="0">
      <text>
        <r>
          <rPr>
            <b/>
            <sz val="8"/>
            <rFont val="Arial"/>
            <family val="2"/>
          </rPr>
          <t>Financial expense = bad debt expense + interest
expense
(variable Financial_Exp)</t>
        </r>
      </text>
    </comment>
    <comment ref="A19" authorId="0" shapeId="0">
      <text>
        <r>
          <rPr>
            <b/>
            <sz val="8"/>
            <rFont val="Arial"/>
            <family val="2"/>
          </rPr>
          <t>Depreciation expense during each accounting
period, segmented by type of asset (hardware,
software, equipment &amp; furniture)</t>
        </r>
      </text>
    </comment>
    <comment ref="A20" authorId="0" shapeId="0">
      <text>
        <r>
          <rPr>
            <b/>
            <sz val="8"/>
            <rFont val="Arial"/>
            <family val="2"/>
          </rPr>
          <t>Income tax expense for each time period
(variable Income_Tax)</t>
        </r>
      </text>
    </comment>
    <comment ref="A21" authorId="0" shapeId="0">
      <text>
        <r>
          <rPr>
            <b/>
            <sz val="8"/>
            <rFont val="Arial"/>
            <family val="2"/>
          </rPr>
          <t>Net income
(variable Net_Income)</t>
        </r>
      </text>
    </comment>
    <comment ref="A22" authorId="0" shapeId="0">
      <text>
        <r>
          <rPr>
            <b/>
            <sz val="8"/>
            <rFont val="Arial"/>
            <family val="2"/>
          </rPr>
          <t>The ratio net income / revenue, by time period
(variable Return_on_Sales_pct)</t>
        </r>
      </text>
    </comment>
    <comment ref="A24" authorId="0" shapeId="0">
      <text>
        <r>
          <rPr>
            <b/>
            <sz val="8"/>
            <rFont val="Arial"/>
            <family val="2"/>
          </rPr>
          <t>The cash dividend payment in each accounting
period.
The formula in this variable expresses a dividend
policy, based on the relationship between cash
balances and revenue, and previous dividends.</t>
        </r>
      </text>
    </comment>
  </commentList>
</comments>
</file>

<file path=xl/comments3.xml><?xml version="1.0" encoding="utf-8"?>
<comments xmlns="http://schemas.openxmlformats.org/spreadsheetml/2006/main">
  <authors>
    <author>HIC</author>
  </authors>
  <commentList>
    <comment ref="A6" authorId="0" shapeId="0">
      <text>
        <r>
          <rPr>
            <b/>
            <sz val="8"/>
            <rFont val="Arial"/>
            <family val="2"/>
          </rPr>
          <t>The total assets of the company at the end of each
time period</t>
        </r>
      </text>
    </comment>
    <comment ref="A15" authorId="0" shapeId="0">
      <text>
        <r>
          <rPr>
            <b/>
            <sz val="8"/>
            <rFont val="Arial"/>
            <family val="2"/>
          </rPr>
          <t>Liabilities, segmented by payables, long and short
term debt</t>
        </r>
      </text>
    </comment>
    <comment ref="A27" authorId="0" shapeId="0">
      <text>
        <r>
          <rPr>
            <b/>
            <sz val="8"/>
            <rFont val="Arial"/>
            <family val="2"/>
          </rPr>
          <t>Book value of equity, segmented by paid-in capital
and retained earnings</t>
        </r>
      </text>
    </comment>
    <comment ref="A34" authorId="0" shapeId="0">
      <text>
        <r>
          <rPr>
            <b/>
            <sz val="8"/>
            <rFont val="Arial"/>
            <family val="2"/>
          </rPr>
          <t>A checksum. Equals Assets - Liabilities - Equity,
which must be zero if assets, liabilities and
equity are accounted for correctly
(variable Balance_Check)</t>
        </r>
      </text>
    </comment>
  </commentList>
</comments>
</file>

<file path=xl/comments4.xml><?xml version="1.0" encoding="utf-8"?>
<comments xmlns="http://schemas.openxmlformats.org/spreadsheetml/2006/main">
  <authors>
    <author>HIC</author>
  </authors>
  <commentList>
    <comment ref="A6" authorId="0" shapeId="0">
      <text>
        <r>
          <rPr>
            <b/>
            <sz val="8"/>
            <rFont val="Arial"/>
            <family val="2"/>
          </rPr>
          <t>The amount of cash on hand a the start of each
time period
(variable Cash_Starting)</t>
        </r>
      </text>
    </comment>
    <comment ref="A8" authorId="0" shapeId="0">
      <text>
        <r>
          <rPr>
            <b/>
            <sz val="8"/>
            <rFont val="Arial"/>
            <family val="2"/>
          </rPr>
          <t>Total sources of cash, by time period
(variable Cash_Sources)</t>
        </r>
      </text>
    </comment>
    <comment ref="A19" authorId="0" shapeId="0">
      <text>
        <r>
          <rPr>
            <b/>
            <sz val="8"/>
            <rFont val="Arial"/>
            <family val="2"/>
          </rPr>
          <t>Total uses of cash, by time period
(variable Cash_Uses)</t>
        </r>
      </text>
    </comment>
    <comment ref="A27" authorId="0" shapeId="0">
      <text>
        <r>
          <rPr>
            <b/>
            <sz val="8"/>
            <rFont val="Arial"/>
            <family val="2"/>
          </rPr>
          <t>Cash balance at the end of each accounting period
(variable Cash)</t>
        </r>
      </text>
    </comment>
    <comment ref="A29" authorId="0" shapeId="0">
      <text>
        <r>
          <rPr>
            <b/>
            <sz val="8"/>
            <rFont val="Arial"/>
            <family val="2"/>
          </rPr>
          <t>Change in cash balance by time period
(variable Cash_Flow)</t>
        </r>
      </text>
    </comment>
    <comment ref="A30" authorId="0" shapeId="0">
      <text>
        <r>
          <rPr>
            <b/>
            <sz val="8"/>
            <rFont val="Arial"/>
            <family val="2"/>
          </rPr>
          <t>Operating cash flow by time period; that is, cash
flow adjusted to cancel out capital transactions
(dividends, sale of stock, changes in debt).
Includes short-term debt transactions, but not
long-term debt.
(variable Cash_Flow_Oper)</t>
        </r>
      </text>
    </comment>
    <comment ref="A34" authorId="0" shapeId="0">
      <text>
        <r>
          <rPr>
            <b/>
            <sz val="8"/>
            <rFont val="Arial"/>
            <family val="2"/>
          </rPr>
          <t>A checksum for cash flow. Equals starting cash
balance + sources of cash - uses of cash - ending
cash balance, which must be zero if cash flows are
accounted for correctly.
(variable Cash_Flow_Check)</t>
        </r>
      </text>
    </comment>
  </commentList>
</comments>
</file>

<file path=xl/comments5.xml><?xml version="1.0" encoding="utf-8"?>
<comments xmlns="http://schemas.openxmlformats.org/spreadsheetml/2006/main">
  <authors>
    <author>HIC</author>
  </authors>
  <commentList>
    <comment ref="A7" authorId="0" shapeId="0">
      <text>
        <r>
          <rPr>
            <b/>
            <sz val="8"/>
            <rFont val="Arial"/>
            <family val="2"/>
          </rPr>
          <t>Gross margin percent (gross margin / revenue),
segmented by product and by time period
(variable Gross_Margin_pct)</t>
        </r>
      </text>
    </comment>
    <comment ref="A8" authorId="0" shapeId="0">
      <text>
        <r>
          <rPr>
            <b/>
            <sz val="8"/>
            <rFont val="Arial"/>
            <family val="2"/>
          </rPr>
          <t>The ratio operating margin / revenue, by time
period
(variable Operating_Margin_pct)</t>
        </r>
      </text>
    </comment>
    <comment ref="A9" authorId="0" shapeId="0">
      <text>
        <r>
          <rPr>
            <b/>
            <sz val="8"/>
            <rFont val="Arial"/>
            <family val="2"/>
          </rPr>
          <t>The ratio net income / revenue, by time period
(variable Return_on_Sales_pct)</t>
        </r>
      </text>
    </comment>
    <comment ref="A12" authorId="0" shapeId="0">
      <text>
        <r>
          <rPr>
            <b/>
            <sz val="8"/>
            <rFont val="Arial"/>
            <family val="2"/>
          </rPr>
          <t>The ratio marketing department expense / revenue,
by time period
(variable Mktg_Exp_Ratio)</t>
        </r>
      </text>
    </comment>
    <comment ref="A13" authorId="0" shapeId="0">
      <text>
        <r>
          <rPr>
            <b/>
            <sz val="8"/>
            <rFont val="Arial"/>
            <family val="2"/>
          </rPr>
          <t>The ratio (sales department expense) / revenue, by
time period
(variable Selling_Exp_Ratio)</t>
        </r>
      </text>
    </comment>
    <comment ref="A14" authorId="0" shapeId="0">
      <text>
        <r>
          <rPr>
            <b/>
            <sz val="8"/>
            <rFont val="Arial"/>
            <family val="2"/>
          </rPr>
          <t>The ratio (operating expense for the Admin
department) / revenue, by time period
(variable G_A_Exp_Ratio)</t>
        </r>
      </text>
    </comment>
    <comment ref="A17" authorId="0" shapeId="0">
      <text>
        <r>
          <rPr>
            <b/>
            <sz val="8"/>
            <rFont val="Arial"/>
            <family val="2"/>
          </rPr>
          <t>The accounting current ratio, equal to current
assets / current liabilities
(variable Current_Ratio)</t>
        </r>
      </text>
    </comment>
    <comment ref="A18" authorId="0" shapeId="0">
      <text>
        <r>
          <rPr>
            <b/>
            <sz val="8"/>
            <rFont val="Arial"/>
            <family val="2"/>
          </rPr>
          <t>The ratio (short-term assets less inventory) /
short-term liabilities, by time period
(variable Quick_Ratio)</t>
        </r>
      </text>
    </comment>
    <comment ref="A21" authorId="0" shapeId="0">
      <text>
        <r>
          <rPr>
            <b/>
            <sz val="8"/>
            <rFont val="Arial"/>
            <family val="2"/>
          </rPr>
          <t>The ratio (revenue for each time period)/ (assets
at the end of each time period)
(variable Asset_Turnover)</t>
        </r>
      </text>
    </comment>
    <comment ref="A22" authorId="0" shapeId="0">
      <text>
        <r>
          <rPr>
            <b/>
            <sz val="8"/>
            <rFont val="Arial"/>
            <family val="2"/>
          </rPr>
          <t>The ratio (annualized cost of goods) / (finished
inventory value), segmented by product, for each
time period. The model uses value instead of units
for turnover so that we can sensibly combine
turnover rates for products of different value.
(variable Inventory_FG_Turnover_Yr)</t>
        </r>
      </text>
    </comment>
    <comment ref="A23" authorId="0" shapeId="0">
      <text>
        <r>
          <rPr>
            <b/>
            <sz val="8"/>
            <rFont val="Arial"/>
            <family val="2"/>
          </rPr>
          <t>The ratio (revenue for each time period) /
(employee count at end of each time period)
(variable Revenue_per_Employee)</t>
        </r>
      </text>
    </comment>
    <comment ref="A26" authorId="0" shapeId="0">
      <text>
        <r>
          <rPr>
            <b/>
            <sz val="8"/>
            <rFont val="Arial"/>
            <family val="2"/>
          </rPr>
          <t>The ratio (trailing annual net income) / assets,
by time period
(variable Return_on_Assets)</t>
        </r>
      </text>
    </comment>
    <comment ref="A27" authorId="0" shapeId="0">
      <text>
        <r>
          <rPr>
            <b/>
            <sz val="8"/>
            <rFont val="Arial"/>
            <family val="2"/>
          </rPr>
          <t>The ratio (trailing annual net income) / (book
value of equity), by time period
(variable Return_on_Equity)</t>
        </r>
      </text>
    </comment>
    <comment ref="A28" authorId="0" shapeId="0">
      <text>
        <r>
          <rPr>
            <b/>
            <sz val="8"/>
            <rFont val="Arial"/>
            <family val="2"/>
          </rPr>
          <t>The accounting debt ratio, equal to the total long
and short term debt divided by the total assets
(variable Debt_Ratio)</t>
        </r>
      </text>
    </comment>
  </commentList>
</comments>
</file>

<file path=xl/comments6.xml><?xml version="1.0" encoding="utf-8"?>
<comments xmlns="http://schemas.openxmlformats.org/spreadsheetml/2006/main">
  <authors>
    <author>HIC</author>
  </authors>
  <commentList>
    <comment ref="A8" authorId="0" shapeId="0">
      <text>
        <r>
          <rPr>
            <b/>
            <sz val="8"/>
            <rFont val="Arial"/>
            <family val="2"/>
          </rPr>
          <t>Sales revenue, segmented by product, by time
period. Computed as average selling price * sales
units. This is revenue net of sales returns.
(variable Revenue_Prod)</t>
        </r>
      </text>
    </comment>
    <comment ref="A13" authorId="0" shapeId="0">
      <text>
        <r>
          <rPr>
            <b/>
            <sz val="8"/>
            <rFont val="Arial"/>
            <family val="2"/>
          </rPr>
          <t>Growth rate of product revenue compared to the
previous time period, segmented by product, by
time period
(variable Revenue_Prod_Growth_display)</t>
        </r>
      </text>
    </comment>
    <comment ref="A22" authorId="0" shapeId="0">
      <text>
        <r>
          <rPr>
            <b/>
            <sz val="8"/>
            <rFont val="Arial"/>
            <family val="2"/>
          </rPr>
          <t>Sales revenue, segmented by location and time
period. Includes product revenue, support revenue
and contract revenue. If revenue is accrued, then
accrued revenue is used here. This is revenue net
of sales returns.</t>
        </r>
      </text>
    </comment>
    <comment ref="A30" authorId="0" shapeId="0">
      <text>
        <r>
          <rPr>
            <b/>
            <sz val="8"/>
            <rFont val="Arial"/>
            <family val="2"/>
          </rPr>
          <t>Sales revenue, segmented by product, by time
period. Computed as average selling price * sales
units. This is revenue net of sales returns.
(variable Revenue_Prod)</t>
        </r>
      </text>
    </comment>
    <comment ref="A47" authorId="0" shapeId="0">
      <text>
        <r>
          <rPr>
            <b/>
            <sz val="8"/>
            <rFont val="Arial"/>
            <family val="2"/>
          </rPr>
          <t>Growth rate of revenue compared to the previous
time period, segmented by product, by time period
(variable Revenue_Growth_display)</t>
        </r>
      </text>
    </comment>
    <comment ref="A52" authorId="0" shapeId="0">
      <text>
        <r>
          <rPr>
            <b/>
            <sz val="8"/>
            <rFont val="Arial"/>
            <family val="2"/>
          </rPr>
          <t>Growth rate of product revenue compared to the
previous time period, segmented by product, by
time period
(variable Revenue_Prod_Growth_display)</t>
        </r>
      </text>
    </comment>
    <comment ref="A63" authorId="0" shapeId="0">
      <text>
        <r>
          <rPr>
            <b/>
            <sz val="8"/>
            <rFont val="Arial"/>
            <family val="2"/>
          </rPr>
          <t>Units of products sold, segmented by product, by
time period
(variable Sales_Units_Prod)</t>
        </r>
      </text>
    </comment>
    <comment ref="A80" authorId="0" shapeId="0">
      <text>
        <r>
          <rPr>
            <b/>
            <sz val="8"/>
            <rFont val="Arial"/>
            <family val="2"/>
          </rPr>
          <t>Measured growth rate of product sales units. This
differs from the input assumption for growth rate
because of integer rounding of sales units.
(variable Sales_Unit_Growth_Prod_display)</t>
        </r>
      </text>
    </comment>
    <comment ref="A95" authorId="0" shapeId="0">
      <text>
        <r>
          <rPr>
            <b/>
            <sz val="8"/>
            <rFont val="Arial"/>
            <family val="2"/>
          </rPr>
          <t>Sales revenue, segmented by product, by time
period. Computed as average selling price * sales
units. This is revenue net of sales returns.
(variable Revenue_Prod)</t>
        </r>
      </text>
    </comment>
    <comment ref="A103" authorId="0" shapeId="0">
      <text>
        <r>
          <rPr>
            <b/>
            <sz val="8"/>
            <rFont val="Arial"/>
            <family val="2"/>
          </rPr>
          <t>Growth rate of product revenue compared to the
previous time period, segmented by product, by
time period
(variable Revenue_Prod_Growth_display)</t>
        </r>
      </text>
    </comment>
    <comment ref="A114" authorId="0" shapeId="0">
      <text>
        <r>
          <rPr>
            <b/>
            <sz val="8"/>
            <rFont val="Arial"/>
            <family val="2"/>
          </rPr>
          <t>Units of products sold, segmented by product, by
time period
(variable Sales_Units_Prod)</t>
        </r>
      </text>
    </comment>
    <comment ref="A135" authorId="0" shapeId="0">
      <text>
        <r>
          <rPr>
            <b/>
            <sz val="8"/>
            <rFont val="Arial"/>
            <family val="2"/>
          </rPr>
          <t>Sales revenue, segmented by product, by time
period. Computed as average selling price * sales
units. This is revenue net of sales returns.
(variable Revenue_Prod)</t>
        </r>
      </text>
    </comment>
    <comment ref="A152" authorId="0" shapeId="0">
      <text>
        <r>
          <rPr>
            <b/>
            <sz val="8"/>
            <rFont val="Arial"/>
            <family val="2"/>
          </rPr>
          <t>Growth rate of revenue compared to the previous
time period, segmented by product, by time period
(variable Revenue_Growth_display)</t>
        </r>
      </text>
    </comment>
    <comment ref="A157" authorId="0" shapeId="0">
      <text>
        <r>
          <rPr>
            <b/>
            <sz val="8"/>
            <rFont val="Arial"/>
            <family val="2"/>
          </rPr>
          <t>Cumulative average growth rate of revenue over
model time, excluding year 1, using a least
squares fit to historical revenue, segmented by
product. This method gives a more stable estimate
of CAGR than using just the first and last period
revenues.
(variable Revenue_CAGR)</t>
        </r>
      </text>
    </comment>
    <comment ref="A167" authorId="0" shapeId="0">
      <text>
        <r>
          <rPr>
            <b/>
            <sz val="8"/>
            <rFont val="Arial"/>
            <family val="2"/>
          </rPr>
          <t>Units of products sold, segmented by product, by
time period
(variable Sales_Units_Prod)</t>
        </r>
      </text>
    </comment>
    <comment ref="A187" authorId="0" shapeId="0">
      <text>
        <r>
          <rPr>
            <b/>
            <sz val="8"/>
            <rFont val="Arial"/>
            <family val="2"/>
          </rPr>
          <t>List price of products, by time period. You should
enter price data for the first time period, and
for any time period and product for which the list
price changes.
(variable Price_List_Prod)</t>
        </r>
      </text>
    </comment>
    <comment ref="A192" authorId="0" shapeId="0">
      <text>
        <r>
          <rPr>
            <b/>
            <sz val="8"/>
            <rFont val="Arial"/>
            <family val="2"/>
          </rPr>
          <t>Average actual selling price including discounts
below list price, segmented by product, by time
period
(variable Price_Average_Prod)</t>
        </r>
      </text>
    </comment>
    <comment ref="A206" authorId="0" shapeId="0">
      <text>
        <r>
          <rPr>
            <b/>
            <sz val="8"/>
            <rFont val="Arial"/>
            <family val="2"/>
          </rPr>
          <t>The percentage by which average selling price of
products is reduced from list price, segmented by
product, by time period
(variable Price_Discount_pct_Prod)</t>
        </r>
      </text>
    </comment>
  </commentList>
</comments>
</file>

<file path=xl/comments7.xml><?xml version="1.0" encoding="utf-8"?>
<comments xmlns="http://schemas.openxmlformats.org/spreadsheetml/2006/main">
  <authors>
    <author>HIC</author>
  </authors>
  <commentList>
    <comment ref="A6" authorId="0" shapeId="0">
      <text>
        <r>
          <rPr>
            <b/>
            <sz val="8"/>
            <rFont val="Arial"/>
            <family val="2"/>
          </rPr>
          <t>Sales revenue, segmented by location and time
period. Includes product revenue, support revenue
and contract revenue. If revenue is accrued, then
accrued revenue is used here. This is revenue net
of sales returns.</t>
        </r>
      </text>
    </comment>
    <comment ref="A7" authorId="0" shapeId="0">
      <text>
        <r>
          <rPr>
            <b/>
            <sz val="8"/>
            <rFont val="Arial"/>
            <family val="2"/>
          </rPr>
          <t>Gross margin amount, segmented by sales location,
for each time period
(variable Gross_Margin)</t>
        </r>
      </text>
    </comment>
    <comment ref="A8" authorId="0" shapeId="0">
      <text>
        <r>
          <rPr>
            <b/>
            <sz val="8"/>
            <rFont val="Arial"/>
            <family val="2"/>
          </rPr>
          <t>Gross margin percent (gross margin / revenue),
segmented by product and by time period
(variable Gross_Margin_pct)</t>
        </r>
      </text>
    </comment>
    <comment ref="A52" authorId="0" shapeId="0">
      <text>
        <r>
          <rPr>
            <b/>
            <sz val="8"/>
            <rFont val="Arial"/>
            <family val="2"/>
          </rPr>
          <t>Cost of goods and services for sales accrued per
time period, segmented by product, by cost type,
and by time. Includes cost of goods for products;
also includes cost of services for support and
contracts, if they are included in the model.
The model distinguishs COGS from direct costs for
products, because production units may not equal
units sold. This distinction is not needed for
support services or contract sales.
(variable Cost_of_Goods_n_Svcs)</t>
        </r>
      </text>
    </comment>
    <comment ref="A108" authorId="0" shapeId="0">
      <text>
        <r>
          <rPr>
            <b/>
            <sz val="8"/>
            <rFont val="Arial"/>
            <family val="2"/>
          </rPr>
          <t>The number of units of product produced, segmented
by product, by time period. Production amounts are
determined by unit sales, inventory targets, and
current inventory levels
(variable Prodn_Units)</t>
        </r>
      </text>
    </comment>
    <comment ref="A113" authorId="0" shapeId="0">
      <text>
        <r>
          <rPr>
            <b/>
            <sz val="8"/>
            <rFont val="Arial"/>
            <family val="2"/>
          </rPr>
          <t>Direct costs incurred in building or acquiring
product units, by product, by cost type, and by
time period
(variable Direct_Cost_Prod)</t>
        </r>
      </text>
    </comment>
  </commentList>
</comments>
</file>

<file path=xl/comments8.xml><?xml version="1.0" encoding="utf-8"?>
<comments xmlns="http://schemas.openxmlformats.org/spreadsheetml/2006/main">
  <authors>
    <author>HIC</author>
  </authors>
  <commentList>
    <comment ref="A7" authorId="0" shapeId="0">
      <text>
        <r>
          <rPr>
            <b/>
            <sz val="8"/>
            <rFont val="Arial"/>
            <family val="2"/>
          </rPr>
          <t>Operating expense, segmented by department and
expense type, by time period
(variable Operating_Exp)</t>
        </r>
      </text>
    </comment>
    <comment ref="A16" authorId="0" shapeId="0">
      <text>
        <r>
          <rPr>
            <b/>
            <sz val="8"/>
            <rFont val="Arial"/>
            <family val="2"/>
          </rPr>
          <t>Operating expense, segmented by department and
expense type, by time period
(variable Operating_Exp)</t>
        </r>
      </text>
    </comment>
    <comment ref="A47" authorId="0" shapeId="0">
      <text>
        <r>
          <rPr>
            <b/>
            <sz val="8"/>
            <rFont val="Arial"/>
            <family val="2"/>
          </rPr>
          <t>Marketing department expense, by time period. In
early time periods, specified as explicit numbers;
in later time periods, computed using Cobb-Douglas
function of revenue
(variable Mktg_Expense)</t>
        </r>
      </text>
    </comment>
    <comment ref="A54" authorId="0" shapeId="0">
      <text>
        <r>
          <rPr>
            <b/>
            <sz val="8"/>
            <rFont val="Arial"/>
            <family val="2"/>
          </rPr>
          <t>Facilities and utilities expense per time period,
segmented by department
(variable Facil_Util_Exp)</t>
        </r>
      </text>
    </comment>
    <comment ref="A59" authorId="0" shapeId="0">
      <text>
        <r>
          <rPr>
            <b/>
            <sz val="8"/>
            <rFont val="Arial"/>
            <family val="2"/>
          </rPr>
          <t>Average office space (K sqft / person). Applies
only to space that is allocated by employee count,
not to space that is independent of employee
count.
(variable Office_Space_per_Person)</t>
        </r>
      </text>
    </comment>
    <comment ref="A61" authorId="0" shapeId="0">
      <text>
        <r>
          <rPr>
            <b/>
            <sz val="8"/>
            <rFont val="Arial"/>
            <family val="2"/>
          </rPr>
          <t>Office rental expense ($/Sqft/Yr), by time period.
Applies only to space that is allocated by
employee count, not to space that is independent
of employee count.
(variable Office_Rent_Rate_Yr)</t>
        </r>
      </text>
    </comment>
    <comment ref="A63" authorId="0" shapeId="0">
      <text>
        <r>
          <rPr>
            <b/>
            <sz val="8"/>
            <rFont val="Arial"/>
            <family val="2"/>
          </rPr>
          <t>Office utilities expense ($/Sqft/Yr), by time
period
(variable Office_Utilities_Rate_Yr)</t>
        </r>
      </text>
    </comment>
    <comment ref="A65" authorId="0" shapeId="0">
      <text>
        <r>
          <rPr>
            <b/>
            <sz val="8"/>
            <rFont val="Arial"/>
            <family val="2"/>
          </rPr>
          <t>Office maintenance expense ($/Sqft/Yr), by time
period. Applies only to space that is allocated by
employee count, not to space that is independent
of employee count.
(variable Office_Maint_Rate_Yr)</t>
        </r>
      </text>
    </comment>
    <comment ref="A72" authorId="0" shapeId="0">
      <text>
        <r>
          <rPr>
            <b/>
            <sz val="8"/>
            <rFont val="Arial"/>
            <family val="2"/>
          </rPr>
          <t>Employee-related expenses, segmented by department
and expense type
(variable Employee_Rel_Exp)</t>
        </r>
      </text>
    </comment>
    <comment ref="A89" authorId="0" shapeId="0">
      <text>
        <r>
          <rPr>
            <b/>
            <sz val="8"/>
            <rFont val="Arial"/>
            <family val="2"/>
          </rPr>
          <t>General &amp; administrative expense
(variable Gen_Admin_Exp)</t>
        </r>
      </text>
    </comment>
    <comment ref="A100" authorId="0" shapeId="0">
      <text>
        <r>
          <rPr>
            <b/>
            <sz val="8"/>
            <rFont val="Arial"/>
            <family val="2"/>
          </rPr>
          <t>General &amp; administrative expense
(variable Gen_Admin_Exp_K_off)</t>
        </r>
      </text>
    </comment>
    <comment ref="A111" authorId="0" shapeId="0">
      <text>
        <r>
          <rPr>
            <b/>
            <sz val="8"/>
            <rFont val="Arial"/>
            <family val="2"/>
          </rPr>
          <t>Amount of purchases, split out by goods and
services, payroll, and income taxes, per period.
Used to compute accounts payable.
(variable Purchases_Short_Term)</t>
        </r>
      </text>
    </comment>
  </commentList>
</comments>
</file>

<file path=xl/comments9.xml><?xml version="1.0" encoding="utf-8"?>
<comments xmlns="http://schemas.openxmlformats.org/spreadsheetml/2006/main">
  <authors>
    <author>HIC</author>
  </authors>
  <commentList>
    <comment ref="A8" authorId="0" shapeId="0">
      <text>
        <r>
          <rPr>
            <b/>
            <sz val="8"/>
            <rFont val="Arial"/>
            <family val="2"/>
          </rPr>
          <t>Employee headcount, segmented by department and
job level, by time period. The employee count is
rounded to half-integers.
Headcount is determined by explicit input data,
and in some versions, by a revenue-driven formula
for later time periods.
(variable Employee_Count)</t>
        </r>
      </text>
    </comment>
    <comment ref="A13" authorId="0" shapeId="0">
      <text>
        <r>
          <rPr>
            <b/>
            <sz val="8"/>
            <rFont val="Arial"/>
            <family val="2"/>
          </rPr>
          <t>Indirect labor expense, segmented by job level,
for each time period.
Sales commissions go to the Sales department,
allocated to employees proportional to wage and
salary compensation.
(variable Indir_Labor_Exp)</t>
        </r>
      </text>
    </comment>
    <comment ref="A23" authorId="0" shapeId="0">
      <text>
        <r>
          <rPr>
            <b/>
            <sz val="8"/>
            <rFont val="Arial"/>
            <family val="2"/>
          </rPr>
          <t>Employee headcount, segmented by department and
job level, by time period. The employee count is
rounded to half-integers.
Headcount is determined by explicit input data,
and in some versions, by a revenue-driven formula
for later time periods.
(variable Employee_Count)</t>
        </r>
      </text>
    </comment>
    <comment ref="A40" authorId="0" shapeId="0">
      <text>
        <r>
          <rPr>
            <b/>
            <sz val="8"/>
            <rFont val="Arial"/>
            <family val="2"/>
          </rPr>
          <t>Indirect labor expense, segmented by job level,
for each time period.
Sales commissions go to the Sales department,
allocated to employees proportional to wage and
salary compensation.
(variable Indir_Labor_Exp)</t>
        </r>
      </text>
    </comment>
    <comment ref="A54" authorId="0" shapeId="0">
      <text>
        <r>
          <rPr>
            <b/>
            <sz val="8"/>
            <rFont val="Arial"/>
            <family val="2"/>
          </rPr>
          <t>Wage expense excluding benefits, payroll taxes,
bonuses and commissions
(variable Wage_Expense)</t>
        </r>
      </text>
    </comment>
    <comment ref="A68" authorId="0" shapeId="0">
      <text>
        <r>
          <rPr>
            <b/>
            <sz val="8"/>
            <rFont val="Arial"/>
            <family val="2"/>
          </rPr>
          <t>The average wage payment per time period to each
employee, segmented by department and job level
(variable Wage_Average)</t>
        </r>
      </text>
    </comment>
    <comment ref="A82" authorId="0" shapeId="0">
      <text>
        <r>
          <rPr>
            <b/>
            <sz val="8"/>
            <rFont val="Arial"/>
            <family val="2"/>
          </rPr>
          <t>The rate of increase of wage rates, by time
period. The variable 'Wage Increase Annual?'
determines whether this rate of increase is
interpreted as an annual rate spread over all time
periods, or as the actual rate that is applied in
each time period.
(variable Wage_Incr_pct)</t>
        </r>
      </text>
    </comment>
    <comment ref="A84" authorId="0" shapeId="0">
      <text>
        <r>
          <rPr>
            <b/>
            <sz val="8"/>
            <rFont val="Arial"/>
            <family val="2"/>
          </rPr>
          <t>The employee bonus pool per time period, segmented
by department
(variable Employee_Bonus)</t>
        </r>
      </text>
    </comment>
    <comment ref="A98" authorId="0" shapeId="0">
      <text>
        <r>
          <rPr>
            <b/>
            <sz val="8"/>
            <rFont val="Arial"/>
            <family val="2"/>
          </rPr>
          <t>Employee-related expenses, segmented by department
and expense type
(variable Employee_Rel_Exp)</t>
        </r>
      </text>
    </comment>
  </commentList>
</comments>
</file>

<file path=xl/sharedStrings.xml><?xml version="1.0" encoding="utf-8"?>
<sst xmlns="http://schemas.openxmlformats.org/spreadsheetml/2006/main" count="2574" uniqueCount="1913">
  <si>
    <t>Direct_Cost_per_U_Prod</t>
  </si>
  <si>
    <t>Initial cash balance at the start of model time</t>
  </si>
  <si>
    <t>Accts_Pay_Type.Vendor_Pay</t>
  </si>
  <si>
    <t>The accounting current ratio, equal to current assets / current liabilities</t>
  </si>
  <si>
    <t>:A:0:Direct_Cost</t>
  </si>
  <si>
    <t>Empl_Rel_Exp_Type</t>
  </si>
  <si>
    <t>Employee_Bonus_pct["Depts.Marketing", "Job_Levels.Job_Level_1", DATE(2011,1,1)]|=0</t>
  </si>
  <si>
    <t>Initial value of accounts receivable from sale of products, at the beginning of model time</t>
  </si>
  <si>
    <t>Tagged_Asset_Depr_Period</t>
  </si>
  <si>
    <t>Sales_Units_Prod_Sc1x["Products.Product_1", "Sales_Locations.Location_2", DATE(2011,1,1)]|=(1+'(Tables)'!B21)*0</t>
  </si>
  <si>
    <t>:A:-1:Employee_Count1_K_off</t>
  </si>
  <si>
    <t>Sales_Unit_Gr_Prod_Yr_Sc1x["Products.Product_1", "Sales_Locations.Location_2", DATE(2011,2,1)]|=2*D24-D24</t>
  </si>
  <si>
    <t>Cash_Targ_Days[DATE(2011,6,1)]|=H157</t>
  </si>
  <si>
    <t>The ratio (annualized cost of goods) / (finished inventory value), segmented by product, for each time period. The model uses value instead of units 
for turnover so that we can sensibly combine turnover rates for products of different value.</t>
  </si>
  <si>
    <t>Inventory_FG_Units_Init</t>
  </si>
  <si>
    <t>Accts_Pay_Targ_Days["Accts_Pay_Type.Tax_Pay", DATE(2011,6,1)]|=I207</t>
  </si>
  <si>
    <t>Dir Matl Units Used</t>
  </si>
  <si>
    <t>Cost of direct material per unit of direct material. (This is generally not the same as cost per production unit.)</t>
  </si>
  <si>
    <t>Employee Bonus %</t>
  </si>
  <si>
    <t>(Tables)'!Employee_Count1_K_off_Depts</t>
  </si>
  <si>
    <t>:A:0:Tagged_Asset_Life_Phys_Period</t>
  </si>
  <si>
    <t>:A:-1:Rev_at_List_Price_Prod</t>
  </si>
  <si>
    <t>:A:0:Wage_Average_Initial_Yr</t>
  </si>
  <si>
    <t>:D:2:Equity.PaidinCap</t>
  </si>
  <si>
    <t>:D:0:Dir_Cost_Types.Dir_Material</t>
  </si>
  <si>
    <t>Book value of stock issued less buy-backs, by time period.
This variable includes a formula that implements a policy for the sale of stock based on cash balances and recent rates of change of cash balances.</t>
  </si>
  <si>
    <t>OpExp!Operating_Exp_Depts_Sales</t>
  </si>
  <si>
    <t>Sales_Unit_Growth_Prod</t>
  </si>
  <si>
    <t>Gross Margin %</t>
  </si>
  <si>
    <t>:A:-1:Assets</t>
  </si>
  <si>
    <t>Accts_Payable_Init["Accts_Pay_Type.Tax_Pay"]|=0/3</t>
  </si>
  <si>
    <t>Direct_Cost_per_U_Prod*Sales_Units_Prod</t>
  </si>
  <si>
    <t>:A:-1:Equity</t>
  </si>
  <si>
    <t>:A:-1:Sales_Units_Prod_Sc1x</t>
  </si>
  <si>
    <t>:A:-1:Interest_Rate_Earned_Cash_Yr</t>
  </si>
  <si>
    <t>:D:0:Accts_Pay_Type.Payroll_Pay</t>
  </si>
  <si>
    <t>:A:0:Dividend</t>
  </si>
  <si>
    <t>Purchases Raw Matl</t>
  </si>
  <si>
    <t>:A:0:Interest_Exp_Net</t>
  </si>
  <si>
    <t>:D:1:Dir_Cost_Types</t>
  </si>
  <si>
    <t xml:space="preserve">    AcctsRec</t>
  </si>
  <si>
    <t>Net Stock Issue</t>
  </si>
  <si>
    <t>Quick Ratio</t>
  </si>
  <si>
    <t>Employee_Count1_K_off["Depts.Marketing", "Job_Levels.Job_Level_2", DATE(2011,2,1)]|=if('(Tables)'!D148&lt;0.001+1/12, 0, if('(Tables)'!B172=0, 1, '(Tables)'!C172/'(Tables)'!B172)*D76)</t>
  </si>
  <si>
    <t xml:space="preserve">  Product_1</t>
  </si>
  <si>
    <t xml:space="preserve">  Product_2</t>
  </si>
  <si>
    <t>Sales_Commis_Rev_Share[DATE(2011,5,1)]|=G95</t>
  </si>
  <si>
    <t>Indirect Labor</t>
  </si>
  <si>
    <t>Equity Cash Flow</t>
  </si>
  <si>
    <t>Financial_Exp</t>
  </si>
  <si>
    <t>Dir_Labor_Cost_U_Prod_In</t>
  </si>
  <si>
    <t>Office_Rent_Rate_Yr[DATE(2011,2,1)]|=D109</t>
  </si>
  <si>
    <t>0.5*round(2*Employee_Count1_K_off, 0)</t>
  </si>
  <si>
    <t>:A:-1:Company_Name</t>
  </si>
  <si>
    <t>Gross Margin - Products</t>
  </si>
  <si>
    <t>Interest_Rate_Long_Yr[DATE(2011,5,1)]|=G138</t>
  </si>
  <si>
    <t>:A:0:Bad_Debt_Exp</t>
  </si>
  <si>
    <t>:A:0:Tagged_Asset_Purch_Date</t>
  </si>
  <si>
    <t>:A:0:Revenue_CAGR</t>
  </si>
  <si>
    <t>Wage_Tax_pct[DATE(2011,4,1)]|=F98</t>
  </si>
  <si>
    <t>:A:0:Inventory_FG_Turnover_Yr</t>
  </si>
  <si>
    <t>Wage increase %</t>
  </si>
  <si>
    <t>Dir_OH_Cost_per_U_Prod_In["Products.Product_1", DATE(2011,2,1)]|=D63*1</t>
  </si>
  <si>
    <t>:A:-1:Wage_Benefits_pct</t>
  </si>
  <si>
    <t>The time that deferred revenue is accrued, in years. If contract term is zero, then proceeds are accrued as revenue in the same period they are received.</t>
  </si>
  <si>
    <t>Employee_Bonus_pct["Depts.Marketing", "Job_Levels.Job_Level_2", DATE(2011,3,1)]|=E92</t>
  </si>
  <si>
    <t>Employee_Count1_K_off["Depts.Marketing", "Job_Levels.Job_Level_1", DATE(2011,4,1)]|=if('(Tables)'!F148&lt;0.001+1/12, 0, if('(Tables)'!D172=0, 1, '(Tables)'!E172/'(Tables)'!D172)*F75)</t>
  </si>
  <si>
    <t>:A:0:Tagged_Assets</t>
  </si>
  <si>
    <t>:A:-1:Time_Period</t>
  </si>
  <si>
    <t>Cash_Flow_Check</t>
  </si>
  <si>
    <t>:A:0:Revenue</t>
  </si>
  <si>
    <t>Direct costs per product unit produced or acquired, segmented by product, by cost type, and by time period. Includes optional production learning effects. You should enter data for the first time period, and for any product and time period in which direct cost per unit changes.</t>
  </si>
  <si>
    <t>:A:0:Tagged_Asset_Life_Depr_Period</t>
  </si>
  <si>
    <t>Inventory_FG_Targ_Days["Products.Product_2", DATE(2011,2,1)]|=D172</t>
  </si>
  <si>
    <t>:WS:Output Template</t>
  </si>
  <si>
    <t>Bad_Debt_pct[DATE(2011,1,1)]|=0</t>
  </si>
  <si>
    <t>if(Revenue=0, 0, Gross_Margin/Revenue)</t>
  </si>
  <si>
    <t>Company Name</t>
  </si>
  <si>
    <t>:A:-1:Accts_Payable</t>
  </si>
  <si>
    <t>Sales_Units_Prod_Sc1x["Products.Product_1", "Sales_Locations.Location_2", DATE(2011,4,1)]|=(1+'(Tables)'!E21)*F19</t>
  </si>
  <si>
    <t>This variable counts time in years, starting from the beginning of model time. For example, it increases in value by 0.25 each quarter. Used in several computations.</t>
  </si>
  <si>
    <t>:D:0:Equity.PaidinCap</t>
  </si>
  <si>
    <t>Sales Units - Products</t>
  </si>
  <si>
    <t>:A:0:Quick_Ratio</t>
  </si>
  <si>
    <t>(Compute)'!Gross_Margin_Prod_Time_Period</t>
  </si>
  <si>
    <t>OpExp!Operating_Exp_Depts_Marketing_OpExpType_Indir_Labor_Exp</t>
  </si>
  <si>
    <t>:A:0:Discount_Factor</t>
  </si>
  <si>
    <t>Accts_Pay_Targ_Days["Accts_Pay_Type.Vendor_Pay", DATE(2011,5,1)]|=H205</t>
  </si>
  <si>
    <t>:A:-1:Purch_Raw_Matl</t>
  </si>
  <si>
    <t>:D:0:OpExpType</t>
  </si>
  <si>
    <t>Dividend[DATE(2011,4,1)]|=0</t>
  </si>
  <si>
    <t>:A:-1:Bad_Debt_Exp</t>
  </si>
  <si>
    <t>Cash_Flow_Equity</t>
  </si>
  <si>
    <t>Sales_Units_Prod_Sc1x["Products.Product_2", "Sales_Locations.Location_1", DATE(2011,1,1)]|=(1+'(Tables)'!B24)*0</t>
  </si>
  <si>
    <t>Display Item As</t>
  </si>
  <si>
    <t>:A:0:Financial_Exp</t>
  </si>
  <si>
    <t>Growth rate of revenue compared to the previous time period, segmented by product and time period. This version replaces blanks in the display version with zeros for computation.</t>
  </si>
  <si>
    <t>:A:0:Inventory_FG_Units</t>
  </si>
  <si>
    <t>:A:0:Inventory_FG</t>
  </si>
  <si>
    <t>:D:0:Cash_Sources.Depreciation_and_Salvage</t>
  </si>
  <si>
    <t>:A:-1:Cost_of_Goods_n_Svcs</t>
  </si>
  <si>
    <t>if(and(current_date(-1)&lt;=Tagged_Asset_Purch_Date, Tagged_Asset_Purch_Date&lt;=current_date(1)), Tagged_Asset_Init_Value, 0)</t>
  </si>
  <si>
    <t>Gen_Admin_Exp_K_off["Depts.Sales", "GA_Exp.IT_Expense", DATE(2011,2,1)]|=D117*if(IncStmt!B6=0, 1, IncStmt!C6/IncStmt!B6)</t>
  </si>
  <si>
    <t>Discount Rate</t>
  </si>
  <si>
    <t>Cash_Targ_Days[DATE(2011,2,1)]|=D157</t>
  </si>
  <si>
    <t>:A:-1:Products_plt</t>
  </si>
  <si>
    <t>:D:0:Cash_Sources.Net_Stock_Issue</t>
  </si>
  <si>
    <t>Dir_Labor_Util_pct_Prod</t>
  </si>
  <si>
    <t>Gross_Margin</t>
  </si>
  <si>
    <t>var(if(diminfo("Depts", 0)="Marketing", 0, if(diminfo("Depts", 0)="Operations", 0, 0)))</t>
  </si>
  <si>
    <t>Net_Stock_Issue_short</t>
  </si>
  <si>
    <t>OpExp!Operating_Exp_Depts_Marketing_OpExpType_Employee_Rel_Exp</t>
  </si>
  <si>
    <t xml:space="preserve">Sales Unit Growth - Product </t>
  </si>
  <si>
    <t>:A:0:Dir_Matl_U_per_Prodn_U</t>
  </si>
  <si>
    <t>(Tables)'!Gross_Margin_Prod_Products_Product_2_Sales_Locations</t>
  </si>
  <si>
    <t>Value of accounts payable at the start of model time, segmented by payables type</t>
  </si>
  <si>
    <t>Wage Increase Yr?</t>
  </si>
  <si>
    <t>Office maintenance expense ($/Sqft/Yr), by time period. Applies only to space that is allocated by employee count, not to space that is independent of employee count.</t>
  </si>
  <si>
    <t>:A:0:Indir_Labor_Exp</t>
  </si>
  <si>
    <t>(Compute)'!Liabilities_Time_Period</t>
  </si>
  <si>
    <t>Products, Dir_Cost_Types.Dir_Material</t>
  </si>
  <si>
    <t>Direct Labor Utilization %</t>
  </si>
  <si>
    <t>Office_Maint_Rate_Yr[DATE(2011,6,1)]|=H111</t>
  </si>
  <si>
    <t>Employee_Bonus_pct["Depts.Marketing", "Job_Levels.Job_Level_2", DATE(2011,1,1)]|=0</t>
  </si>
  <si>
    <t>Finished inventory units, segmented by products, at the end of each time period</t>
  </si>
  <si>
    <t>:A:-1:Tagged_Asset_Depr_Period</t>
  </si>
  <si>
    <t>Cash_Targ_Days</t>
  </si>
  <si>
    <t>Ending Cash</t>
  </si>
  <si>
    <t>Total</t>
  </si>
  <si>
    <t>Inventory_Raw_Targ_Days["Dir_Matl_Types", DATE(2011,1,1)]|=30</t>
  </si>
  <si>
    <t>Employee_Count1_K_off["Depts.Sales", "Job_Levels.Job_Level_1", DATE(2011,5,1)]|=if('(Tables)'!G148&lt;0.001+1/12, 0, if('(Tables)'!E172=0, 1, '(Tables)'!F172/'(Tables)'!E172)*G73)</t>
  </si>
  <si>
    <t>Facil_Other_Exp_Yr[DATE(2011,6,1)]|=H112</t>
  </si>
  <si>
    <t>Tagged_Asset_Name["Asset_Tags.Asset_1"]|</t>
  </si>
  <si>
    <t>Price_List_Prod["Products.Product_1", DATE(2011,5,1)]|=G33+1*G33*0-G33*0</t>
  </si>
  <si>
    <t>Units of direct material used in production of products. Segmented by direct material type and time period.</t>
  </si>
  <si>
    <t>Dir_Matl_U_per_Prodn_U["Products.Product_2", DATE(2011,1,1)]|=1*1</t>
  </si>
  <si>
    <t>Inventory_FG_Units</t>
  </si>
  <si>
    <t>:A:0:Wage_Benefits_pct</t>
  </si>
  <si>
    <t>Per_Employee_Exp_Yr["Depts.Sales", "Empl_Rel_Exp_Type.Other", DATE(2011,1,1)]|=0</t>
  </si>
  <si>
    <t>The total assets of the company at the end of each time period</t>
  </si>
  <si>
    <t>Dir_Matl_U_per_Prodn_U*Dir_Matl_Cost_per_DM_U_Prod</t>
  </si>
  <si>
    <t xml:space="preserve">  Net_Stock_Issue</t>
  </si>
  <si>
    <t>Per_Employee_Exp_Yr["Depts.Marketing", "Empl_Rel_Exp_Type.Other", DATE(2011,3,1)]|=E128</t>
  </si>
  <si>
    <t>:A:0:Inventory_Raw_Matl_U</t>
  </si>
  <si>
    <t>OpExp!Operating_Exp_Depts_Sales_OpExpType_Indir_Labor_Exp</t>
  </si>
  <si>
    <t>:A:0:Contracts_Term_Yr</t>
  </si>
  <si>
    <t>Short_Debt[DATE(2010,12,1)]|=0</t>
  </si>
  <si>
    <t>:D:0:Cash_Uses.Chg_Accts_Receivable</t>
  </si>
  <si>
    <t xml:space="preserve">  Short</t>
  </si>
  <si>
    <t>Dir_Matl_U_per_Prodn_U["Products.Product_1", DATE(2011,1,1)]|=1*1</t>
  </si>
  <si>
    <t>:D:2:GA_Exp</t>
  </si>
  <si>
    <t>Employee_Count1_K_off["Depts.Sales", "Job_Levels.Job_Level_2", DATE(2011,5,1)]|=if('(Tables)'!G148&lt;0.001+1/12, 0, if('(Tables)'!E172=0, 1, '(Tables)'!F172/'(Tables)'!E172)*G74)</t>
  </si>
  <si>
    <t>Employee_Count1_K_off["Depts.Marketing", "Job_Levels.Job_Level_2", DATE(2011,6,1)]|=if('(Tables)'!H148&lt;0.001+1/12, 0, if('(Tables)'!F172=0, 1, '(Tables)'!G172/'(Tables)'!F172)*H76)</t>
  </si>
  <si>
    <t>:A:-1:Short_Debt</t>
  </si>
  <si>
    <t>The ratio (revenue for each time period)/ (assets at the end of each time period)</t>
  </si>
  <si>
    <t>Cash_Targ_Days[DATE(2011,3,1)]|=E157</t>
  </si>
  <si>
    <t>Income Tax</t>
  </si>
  <si>
    <t>Sales_Commis_Rev_Share[DATE(2011,3,1)]|=E95</t>
  </si>
  <si>
    <t>Dir_Matl_Types</t>
  </si>
  <si>
    <t>Price_Discount_pct_Prod["Products.Product_2", "Sales_Locations.Location_2", DATE(2011,2,1)]|=D39</t>
  </si>
  <si>
    <t>:A:0:Long_Loans</t>
  </si>
  <si>
    <t>(Compute)'!Equity_Time_Period</t>
  </si>
  <si>
    <t>:D:1:Job_Levels</t>
  </si>
  <si>
    <t xml:space="preserve">  PaidinCap</t>
  </si>
  <si>
    <t>:A:0:Purch_Raw_Matl</t>
  </si>
  <si>
    <t>:D:0:Liabilities</t>
  </si>
  <si>
    <t>OpExp!Operating_Exp_Depts_Marketing_OpExpType_Facil_Util_Exp</t>
  </si>
  <si>
    <t>:A:-1:Dir_Labor_Util_pct_Prod</t>
  </si>
  <si>
    <t>OpExp!Operating_Exp_Depts_Sales_OpExpType_Facil_Util_Exp</t>
  </si>
  <si>
    <t>:A:-1:Cash_Flow_Check</t>
  </si>
  <si>
    <t>Depts, GA_Exp</t>
  </si>
  <si>
    <t>Units of raw material needed for production and to meet inventory targets. Segmented by direct material type and time period.</t>
  </si>
  <si>
    <t>Initial Cash</t>
  </si>
  <si>
    <t>if(Employee_Count=0, 0, Wage_Expense/Employee_Count)</t>
  </si>
  <si>
    <t>:A:0:Wage_Expense</t>
  </si>
  <si>
    <t>:A:-1:Sales_Commis_Rev_Share</t>
  </si>
  <si>
    <t>Finished Inventory Turnover (Yr)</t>
  </si>
  <si>
    <t>(Compute)'!Revenue_Orders_Time_Period</t>
  </si>
  <si>
    <t>(Tables)'!Employee_Count1_K_off_Depts_Sales_Job_Levels</t>
  </si>
  <si>
    <t>OpExp!Operating_Exp_Depts_Sales_OpExpType</t>
  </si>
  <si>
    <t>:A:-1:Direct_Cost_per_U_Prod</t>
  </si>
  <si>
    <t>:A:0:Revenue_Prod_Growth</t>
  </si>
  <si>
    <t>:A:0:Depts_plt</t>
  </si>
  <si>
    <t>:A:-1:Office_Space_per_Person</t>
  </si>
  <si>
    <t>max(0, Operating_Margin-Depreciation-Financial_Exp-prev(Loss_Forward))</t>
  </si>
  <si>
    <t>ifm(isleafd("Depts"), sum(rangedru("Empl_Rel_Exp_Type")), if(Employee_Count=0, average(rangedru("Depts")), Employee_Rel_Exp*periods_per("year")/Employee_Count))</t>
  </si>
  <si>
    <t>Round Sales Units?</t>
  </si>
  <si>
    <t>:A:-1:Sales_Units_Prod</t>
  </si>
  <si>
    <t>:A:0:Chg_Accts_Rec</t>
  </si>
  <si>
    <t>:A:0:Accts_Receivable</t>
  </si>
  <si>
    <t>A list of departments tracked separately in the plan</t>
  </si>
  <si>
    <t>Sales_Units_Prod_Sc1x["Products.Product_2", "Sales_Locations.Location_2", DATE(2011,6,1)]|=(1+'(Tables)'!G25)*H21</t>
  </si>
  <si>
    <t>preve(" ", if(Sales_Units_Prod=0, " ", next(Sales_Units_Prod)/Sales_Units_Prod-1))</t>
  </si>
  <si>
    <t>Price_List_Prod["Products.Product_2", DATE(2011,1,1)]|=1+1*1*0-1*0</t>
  </si>
  <si>
    <t>Per_Employee_Exp_Yr["Depts.Sales", "Empl_Rel_Exp_Type.Other", DATE(2011,3,1)]|=E125</t>
  </si>
  <si>
    <t>Chg Long-Term Debt</t>
  </si>
  <si>
    <t>Per_Employee_Exp_Yr["Depts.Marketing", "Empl_Rel_Exp_Type.Travel_Entertain", DATE(2011,2,1)]|=D127</t>
  </si>
  <si>
    <t>Bad_Debt_pct[DATE(2011,2,1)]|=D140</t>
  </si>
  <si>
    <t>Direct Overhead / U</t>
  </si>
  <si>
    <t>Dir_Matl_Cost_per_DM_U_Prod["Dir_Matl_Types", DATE(2011,4,1)]|=G54</t>
  </si>
  <si>
    <t>Net_Stock_Issue</t>
  </si>
  <si>
    <t>:A:-1:Quick_Ratio</t>
  </si>
  <si>
    <t>(Tables)'!Revenue_Orders_Sales_Locations_Location_2</t>
  </si>
  <si>
    <t>if(Revenue_Prod=0, 0, Gross_Margin_Prod/Revenue_Prod)</t>
  </si>
  <si>
    <t>(Tables)'!Revenue_Orders_Sales_Locations_Location_1</t>
  </si>
  <si>
    <t>:A:-1:Revenue_Prod</t>
  </si>
  <si>
    <t>Wage Expense</t>
  </si>
  <si>
    <t>Sales_Commis_Rev_Share[DATE(2011,2,1)]|=D95</t>
  </si>
  <si>
    <t>Initial value of raw goods inventory at the start of model time, segmented by direct material type</t>
  </si>
  <si>
    <t>Interest expense on short-term debt, long-term loans, and bonds (including bond initiation fees), net of interest earned on starting cash balance, for each time period.
Use of starting cash balance is a simplification that bypasses interdependence of interest earned and cash balances.</t>
  </si>
  <si>
    <t>The amount of accounts payables at the end of a time period expressed as a target  number of days of revenue. Used to compute payables.</t>
  </si>
  <si>
    <t>:D:-1:Liabilities</t>
  </si>
  <si>
    <t>Purch Raw Matl Needs</t>
  </si>
  <si>
    <t>(Ranges)'!Assets_Assets_Short_Inventory</t>
  </si>
  <si>
    <t>:A:-1:Accts_Pay_Targ_Days</t>
  </si>
  <si>
    <t>Purchases of units of raw material, segment by direct material time and time period</t>
  </si>
  <si>
    <t>:A:-1:Net_Stock_Issue_short</t>
  </si>
  <si>
    <t>Price_Discount_pct_Prod["Products.Product_1", "Sales_Locations.Location_2", DATE(2011,5,1)]|=G37</t>
  </si>
  <si>
    <t>Accts_Rec_Days_Prod[DATE(2011,4,1)]|=F180</t>
  </si>
  <si>
    <t>Tagged_Asset_Life_Phys_Period</t>
  </si>
  <si>
    <t>(Compute)'!Equity_Date</t>
  </si>
  <si>
    <t>Initial FG Inventory</t>
  </si>
  <si>
    <t>Gen_Admin_Exp_K_off["Depts.Sales", "GA_Exp.IT_Expense", DATE(2011,5,1)]|=G117*if(IncStmt!E6=0, 1, IncStmt!F6/IncStmt!E6)</t>
  </si>
  <si>
    <t>Annual facilities expense that is no proportional to employee count</t>
  </si>
  <si>
    <t>Gross margin percent (gross margin / revenue) for products, segmented by product and by time period</t>
  </si>
  <si>
    <t>Dir_Matl_Cost_per_DM_U_Prod["Dir_Matl_Types", DATE(2010,12,1)]|=0</t>
  </si>
  <si>
    <t>Term (Yr)</t>
  </si>
  <si>
    <t>:A:-1:Employee_Bonus_pct</t>
  </si>
  <si>
    <t>Interest_Rate_Short_Yr[DATE(2011,1,1)]|=0</t>
  </si>
  <si>
    <t>Sales_Units_Prod_Sc1x["Products.Product_1", "Sales_Locations.Location_2", DATE(2011,6,1)]|=(1+'(Tables)'!G21)*H19</t>
  </si>
  <si>
    <t>The amount of accounts payable balance at the end of a time period. Purchases of raw inventory are assumed purchased on a cash basis.</t>
  </si>
  <si>
    <t>Products, Dir_Cost_Types</t>
  </si>
  <si>
    <t>Accts_Payable-prev(Accts_Payable)</t>
  </si>
  <si>
    <t>(1+Sales_Unit_Growth_Prod_In)*preve(0, Sales_Units_Prod_Sc1x)</t>
  </si>
  <si>
    <t>Revenue / Employee</t>
  </si>
  <si>
    <t>:A:-1:Wage_Average_Initial_Yr</t>
  </si>
  <si>
    <t>:A:0:Per_Employee_Exp_Yr</t>
  </si>
  <si>
    <t>Cash_Flow+Dividend-Net_Stock_Issue-Chg_Long_Debt-0+prev(0)</t>
  </si>
  <si>
    <t>Sales_Units_Prod_Sc1x["Products.Product_1", "Sales_Locations.Location_2", DATE(2011,3,1)]|=(1+'(Tables)'!D21)*E19</t>
  </si>
  <si>
    <t>Depreciation life of each tagged asset expressed in periods of model time</t>
  </si>
  <si>
    <t>if(Rev_at_List_Price_Prod=0, 0, 1-Revenue_Prod/Rev_at_List_Price_Prod)</t>
  </si>
  <si>
    <t>Dir_Matl_U_per_Prodn_U["Products.Product_2", DATE(2011,2,1)]|=E52*1</t>
  </si>
  <si>
    <t>Retained_Earnings</t>
  </si>
  <si>
    <t>:A:0:Retained_Earnings</t>
  </si>
  <si>
    <t>Employee_Count1_K_off["Depts.Sales", "Job_Levels.Job_Level_2", DATE(2011,2,1)]|=if('(Tables)'!D148&lt;0.001+1/12, 0, if('(Tables)'!B172=0, 1, '(Tables)'!C172/'(Tables)'!B172)*D74)</t>
  </si>
  <si>
    <t>Employee_Count1_K_off["Depts.Marketing", "Job_Levels.Job_Level_1", DATE(2011,1,1)]|=if('(Tables)'!C148&lt;0.001+1/12, 0, if(0=0, 1, '(Tables)'!B172/0)*0)</t>
  </si>
  <si>
    <t>Accts_Receivable-prev(Accts_Receivable)</t>
  </si>
  <si>
    <t>Depts, OpExpType.Indir_Labor_Exp</t>
  </si>
  <si>
    <t>Salvage value of each tagged asset</t>
  </si>
  <si>
    <t xml:space="preserve">  Long_Term_Asset_Purchases</t>
  </si>
  <si>
    <t>Per_Employee_Exp_Yr["Depts.Marketing", "Empl_Rel_Exp_Type.Travel_Entertain", DATE(2011,1,1)]|=0</t>
  </si>
  <si>
    <t xml:space="preserve">  Depreciation_and_Salvage</t>
  </si>
  <si>
    <t>Initial Value</t>
  </si>
  <si>
    <t>Sales_Locations</t>
  </si>
  <si>
    <t>Employee_Bonus_pct["Depts.Sales", "Job_Levels.Job_Level_1", DATE(2011,4,1)]|=F89</t>
  </si>
  <si>
    <t>Dir_Matl_Cost_per_DM_U_Prod["Dir_Matl_Types", DATE(2011,3,1)]|=F54</t>
  </si>
  <si>
    <t>rollup(true, if(Prodn_Units=0, 0, Cost_of_Goods_Prod/Prodn_Units), "Products", if(Prodn_Units=0, 0, Cost_of_Goods_Prod/Prodn_Units), "Dir_Cost_Types", sum(rangedru("Dir_Cost_Types")))</t>
  </si>
  <si>
    <t>:A:-1:Office_Maint_Rate_Yr</t>
  </si>
  <si>
    <t>Term</t>
  </si>
  <si>
    <t>Retained Earnings</t>
  </si>
  <si>
    <t>Total As</t>
  </si>
  <si>
    <t>Types of costs tracked in direct costs and cost of goods</t>
  </si>
  <si>
    <t>Subtotal</t>
  </si>
  <si>
    <t>Dividend</t>
  </si>
  <si>
    <t>:A:-1:Interest_Exp_Net</t>
  </si>
  <si>
    <t>:A:-1:Cash_Initial</t>
  </si>
  <si>
    <t>:D:-1:Depts</t>
  </si>
  <si>
    <t>Long-Term Asset Purchases</t>
  </si>
  <si>
    <t>:A:-1:Tagged_Asset_Life_Phys_Period</t>
  </si>
  <si>
    <t>:A:-1:Prodn_Units</t>
  </si>
  <si>
    <t>:A:-1:Indir_Labor_Exp</t>
  </si>
  <si>
    <t>:A:0:Accts_Payable</t>
  </si>
  <si>
    <t>Cost_of_Goods_n_Svcs</t>
  </si>
  <si>
    <t>:A:-1:Tagged_Asset_Salvage_Value</t>
  </si>
  <si>
    <t>A list of the equity accounts that are tracked separately in the plan</t>
  </si>
  <si>
    <t>Job Level</t>
  </si>
  <si>
    <t>Sales_Commis_Rate[DATE(2011,6,1)]|=H94</t>
  </si>
  <si>
    <t>:A:0:Oper_Exp_Ratio</t>
  </si>
  <si>
    <t>Taxable_Income</t>
  </si>
  <si>
    <t>Dimension Index</t>
  </si>
  <si>
    <t>Office_Space_per_Person[DATE(2011,1,1)]|=0</t>
  </si>
  <si>
    <t>Interest_Rate_Short_Yr[DATE(2011,4,1)]|=F137</t>
  </si>
  <si>
    <t>:A:-1:Cash_Uses</t>
  </si>
  <si>
    <t>Sales_Units_Prod_Sc1x["Products.Product_1", "Sales_Locations.Location_1", DATE(2011,6,1)]|=(1+'(Tables)'!G20)*H18</t>
  </si>
  <si>
    <t>Sales_Unit_Gr_Prod_Yr_Sc1x["Products.Product_1", "Sales_Locations.Location_1", DATE(2011,5,1)]|=2*G23-F23</t>
  </si>
  <si>
    <t>A checksum for cash flow. Equals starting cash balance + sources of cash - uses of cash - ending cash balance, which must be zero if cash flows are accounted for correctly.</t>
  </si>
  <si>
    <t>Indirect Labor'!Employee_Count_Depts_Sales_Job_Levels_Job_Level_1</t>
  </si>
  <si>
    <t>:A:-1:Employee_Bonus</t>
  </si>
  <si>
    <t>Indirect Labor'!Employee_Count_Depts_Sales_Job_Levels_Job_Level_2</t>
  </si>
  <si>
    <t>Job_Levels</t>
  </si>
  <si>
    <t>If you want to round sales units to whole numbers, set to TRUE, else FALSE</t>
  </si>
  <si>
    <t>:A:0:Net_Income</t>
  </si>
  <si>
    <t xml:space="preserve">  Chg_Accts_Payable</t>
  </si>
  <si>
    <t>Long Term Loans</t>
  </si>
  <si>
    <t>Interest_Exp_Net</t>
  </si>
  <si>
    <t>:A:-1:Cost_of_Goods_Prod</t>
  </si>
  <si>
    <t>Inventory_FG_Targ_Days["Products.Product_2", DATE(2011,5,1)]|=G172</t>
  </si>
  <si>
    <t>:D:2:Asset_Tags.Asset_1</t>
  </si>
  <si>
    <t>Prodn_Units</t>
  </si>
  <si>
    <t>Employee_Bonus_pct["Depts.Sales", "Job_Levels.Job_Level_2", DATE(2011,1,1)]|=0</t>
  </si>
  <si>
    <t>:A:0:Office_Maint_Rate_Yr</t>
  </si>
  <si>
    <t>0-preve(0, 0)</t>
  </si>
  <si>
    <t>Location</t>
  </si>
  <si>
    <t>Depreciation+Tagged_Asset_Salvage_CF</t>
  </si>
  <si>
    <t>Direct overhead costs per product unit produced or acquired, segmented by product and time period. Includes optional production learning effects. 
If you use optional production learning effects, enter data for the first time period, and for any product, material type, and time period in which direct cost per unit changes.</t>
  </si>
  <si>
    <t>ifm(Time&lt;=0.001, Inventory_FG_Init, prev(Inventory_FG)+Direct_Cost_Prod-Cost_of_Goods_Prod)</t>
  </si>
  <si>
    <t>Net_Stock_Issue[DATE(2011,4,1)]|=0</t>
  </si>
  <si>
    <t>Average Wage</t>
  </si>
  <si>
    <t>Price_List_Prod["Products.Product_1", DATE(2011,1,1)]|=1+1*1*0-1*0</t>
  </si>
  <si>
    <t>0-0+0-0</t>
  </si>
  <si>
    <t>:A:-1:Office_Rent_Rate_Yr</t>
  </si>
  <si>
    <t>:A:-1:Operating_Margin</t>
  </si>
  <si>
    <t>:A:0:Direct_Cost_Prod</t>
  </si>
  <si>
    <t>Tagged_Asset_Purch_Date</t>
  </si>
  <si>
    <t>Liabilities.Long.Bonds</t>
  </si>
  <si>
    <t>:A:0:Net_Stock_Issue</t>
  </si>
  <si>
    <t>(1+if(1=1, Sales_Unit_Gr_Prod_Yr_Sc1x, if(1=2, 0, if(1=3, 0, 0))))^(1/periods_per("year"))-1</t>
  </si>
  <si>
    <t>:A:-1:Inventory_FG</t>
  </si>
  <si>
    <t>if(Employee_Count=0, 0, periods_per("year")*Revenue/Employee_Count)</t>
  </si>
  <si>
    <t>Wage_Incr_pct[DATE(2011,4,1)]|=F85</t>
  </si>
  <si>
    <t>Sales!Revenue_Prod_Products_Product_2_Sales_Locations_Location_2</t>
  </si>
  <si>
    <t>Gross_Margin-Operating_Exp-Dir_Labor_Unapplied_Prod</t>
  </si>
  <si>
    <t>:A:-1:Employee_per_RevM</t>
  </si>
  <si>
    <t>(Compute)'!Revenue_Time_Period</t>
  </si>
  <si>
    <t>:A:-1:Long_Assets</t>
  </si>
  <si>
    <t>Sales_Units_Prod_Sc1x["Products.Product_2", "Sales_Locations.Location_2", DATE(2011,3,1)]|=(1+'(Tables)'!D25)*E21</t>
  </si>
  <si>
    <t>Oper_Exp_Ratio</t>
  </si>
  <si>
    <t>Sales_Unit_Gr_Prod_Yr_Sc1x["Products.Product_2", "Sales_Locations.Location_2", DATE(2011,6,1)]|=2*H26-G26</t>
  </si>
  <si>
    <t>A list of the types of operating expenses that are tracked separately in the plan</t>
  </si>
  <si>
    <t>A list of the types of accounts payable</t>
  </si>
  <si>
    <t>:D:0:Products</t>
  </si>
  <si>
    <t>:A:-1:Wage_Expense</t>
  </si>
  <si>
    <t>(Compute)'!Operating_Margin_Time_Period</t>
  </si>
  <si>
    <t xml:space="preserve">  Long</t>
  </si>
  <si>
    <t>Balance_Check</t>
  </si>
  <si>
    <t>(Ranges)'!Assets_Assets_Short_AcctsRec</t>
  </si>
  <si>
    <t>Expense Type</t>
  </si>
  <si>
    <t>Depts, OpExpType.Facil_Util_Exp</t>
  </si>
  <si>
    <t>Accts_Pay_Type</t>
  </si>
  <si>
    <t xml:space="preserve">    Inventory</t>
  </si>
  <si>
    <t>Accts_Pay_Targ_Days["Accts_Pay_Type.Vendor_Pay", DATE(2011,1,1)]|=30</t>
  </si>
  <si>
    <t>:A:0:Return_on_Sales_pct</t>
  </si>
  <si>
    <t>:A:-1:Gross_Margin_pct</t>
  </si>
  <si>
    <t>Sales_Commis_Rev_Share[DATE(2011,6,1)]|=H95</t>
  </si>
  <si>
    <t>Price_Discount_pct_Prod["Products.Product_1", "Sales_Locations.Location_2", DATE(2011,3,1)]|=E37</t>
  </si>
  <si>
    <t>Employee_Bonus_pct*Wage_Expense</t>
  </si>
  <si>
    <t>Sales!Revenue_Prod_Products_Product_2_Sales_Locations</t>
  </si>
  <si>
    <t>Operating Expense</t>
  </si>
  <si>
    <t>ifm(isleafd("Products"), sum(rangedru("Dir_Cost_Types")), if(Prodn_Units=0, 0, Cost_of_Goods_Prod/Prodn_Units))</t>
  </si>
  <si>
    <t>:A:-1:Employee_Count</t>
  </si>
  <si>
    <t>:A:-1:Chg_Long_Debt</t>
  </si>
  <si>
    <t>Asset_Tags</t>
  </si>
  <si>
    <t>:A:-1:Purchases_Short_Term</t>
  </si>
  <si>
    <t>Indirect Labor'!Employee_Count_Depts_Sales_Job_Levels</t>
  </si>
  <si>
    <t>Wage_Average_Initial_Yr["Job_Levels.Job_Level_1", "Depts.Marketing"]|=80000</t>
  </si>
  <si>
    <t>if(prev(Inventory_Raw_Matl_U)-Dir_Matl_U_Used_Prod&gt;=nexte(Purch_Raw_Matl_U_Needs, Purch_Raw_Matl_U_Needs), 0, max(0, nexte(Purch_Raw_Matl_U_Needs, Purch_Raw_Matl_U_Needs)-prev(Inventory_Raw_Matl_U)))</t>
  </si>
  <si>
    <t>:D:0:Cash_Uses.Dividend</t>
  </si>
  <si>
    <t>Short_Debt[DATE(2011,1,1)]|=max(0, '(Compute)'!C7-'(Tables)'!C244)</t>
  </si>
  <si>
    <t>:A:0:Tagged_Asset_Depr_Period</t>
  </si>
  <si>
    <t>:D:0:Assets.Short</t>
  </si>
  <si>
    <t>Office_Maint_Rate_Yr[DATE(2011,1,1)]|=0</t>
  </si>
  <si>
    <t>:A:-1:Inventory_Raw_Matl</t>
  </si>
  <si>
    <t>:A:0:Current_Ratio</t>
  </si>
  <si>
    <t>:A:-1:Dir_Labor_Unapplied_Prod</t>
  </si>
  <si>
    <t>Bad_Debt_pct[DATE(2011,5,1)]|=G140</t>
  </si>
  <si>
    <t>:A:0:Inventory_FG_Units_Init</t>
  </si>
  <si>
    <t>Dir_OH_Cost_per_U_Prod_In["Products.Product_1", DATE(2011,3,1)]|=E63*1</t>
  </si>
  <si>
    <t>:A:-1:Tagged_Asset_Life_Depr_Yr</t>
  </si>
  <si>
    <t>Price_List_Prod["Products.Product_1", DATE(2011,3,1)]|=E33+1*E33*0-E33*0</t>
  </si>
  <si>
    <t>Wage_Tax_pct</t>
  </si>
  <si>
    <t>Cash_Uses</t>
  </si>
  <si>
    <t>Sales_Unit_Gr_Prod_Yr_Sc1x["Products.Product_1", "Sales_Locations.Location_2", DATE(2011,5,1)]|=2*G24-F24</t>
  </si>
  <si>
    <t>Wage_Benefits_pct[DATE(2011,5,1)]|=G97</t>
  </si>
  <si>
    <t>Cash</t>
  </si>
  <si>
    <t>Gen_Admin_Exp_K_off["Depts.Sales", "GA_Exp.IT_Expense", DATE(2011,1,1)]|=0</t>
  </si>
  <si>
    <t>Products, Dir_Cost_Types.Dir_Overhead</t>
  </si>
  <si>
    <t>Data:</t>
  </si>
  <si>
    <t>Gen_Admin_Exp_K_off["Depts.Marketing", "GA_Exp.IT_Expense", DATE(2011,5,1)]|=G118*if(IncStmt!E6=0, 1, IncStmt!F6/IncStmt!E6)</t>
  </si>
  <si>
    <t>Employee_Bonus_pct["Depts.Sales", "Job_Levels.Job_Level_2", DATE(2011,2,1)]|=D90</t>
  </si>
  <si>
    <t>:A:0:Accts_Rec_Prod_Init</t>
  </si>
  <si>
    <t>Per_Employee_Exp_Yr["Depts.Marketing", "Empl_Rel_Exp_Type.Supplies", DATE(2011,2,1)]|=D126</t>
  </si>
  <si>
    <t>Office_Utilities_Rate_Yr[DATE(2011,2,1)]|=D110</t>
  </si>
  <si>
    <t>:D:0:Assets.Short.AcctsRec</t>
  </si>
  <si>
    <t>Operating_Exp</t>
  </si>
  <si>
    <t>Revenue_Growth_display</t>
  </si>
  <si>
    <t>:D:0:OpExpType.Employee_Rel_Exp</t>
  </si>
  <si>
    <t>Employee_Bonus_pct["Depts.Sales", "Job_Levels.Job_Level_1", DATE(2011,1,1)]|=0</t>
  </si>
  <si>
    <t>preve(0.10)</t>
  </si>
  <si>
    <t>:A:0:Cash_Flow_Expect_Fut</t>
  </si>
  <si>
    <t>Accts_Payable</t>
  </si>
  <si>
    <t>Tagged_Asset_Init_Value["Asset_Tags.Asset_1"]|=0</t>
  </si>
  <si>
    <t>Price_List_Prod["Products.Product_2", DATE(2011,4,1)]|=F34+1*F34*0-F34*0</t>
  </si>
  <si>
    <t>:A:0:Operating_Margin</t>
  </si>
  <si>
    <t>Gen_Admin_Exp_K_off["Depts.Sales", "GA_Exp.IT_Expense", DATE(2011,4,1)]|=F117*if(IncStmt!D6=0, 1, IncStmt!E6/IncStmt!D6)</t>
  </si>
  <si>
    <t>Cash_Sources.Deferred_Revenue</t>
  </si>
  <si>
    <t>Salvage Value</t>
  </si>
  <si>
    <t>:A:0:Tagged_Asset_Init_Value</t>
  </si>
  <si>
    <t>Book value of finished inventory, segmented by product, for each time period. Uses LIFO inventory accounting.</t>
  </si>
  <si>
    <t>Starting Cash</t>
  </si>
  <si>
    <t>:D:2:Dir_Cost_Types.Dir_Material</t>
  </si>
  <si>
    <t>Per_Employee_Exp_Yr["Depts.Marketing", "Empl_Rel_Exp_Type.Other", DATE(2011,1,1)]|=0</t>
  </si>
  <si>
    <t>:A:-1:Direct_Cost_Prod</t>
  </si>
  <si>
    <t>Sales_Units_RoundQ[]|=True</t>
  </si>
  <si>
    <t>Cost_of_Goods_Prod+0+0</t>
  </si>
  <si>
    <t>:A:-1:Revenue_Growth</t>
  </si>
  <si>
    <t>Purch_Raw_Matl_U_Needs</t>
  </si>
  <si>
    <t>Accts_Rec_Prod_Init[]|</t>
  </si>
  <si>
    <t>Initial Accts Payable</t>
  </si>
  <si>
    <t>Gross_Margin_pct</t>
  </si>
  <si>
    <t>:D:-1:GA_Exp</t>
  </si>
  <si>
    <t>:A:-1:Liabilities</t>
  </si>
  <si>
    <t>Operating_Margin</t>
  </si>
  <si>
    <t>preve(0)*1["Dir_Cost_Types.Dir_Overhead"]</t>
  </si>
  <si>
    <t>:D:0:Depts.Marketing</t>
  </si>
  <si>
    <t>:A:0:Cash_Uses</t>
  </si>
  <si>
    <t>:A:0:Wage_Incr_AnnualQ</t>
  </si>
  <si>
    <t>Long Asset Purch</t>
  </si>
  <si>
    <t>:A:0:Discount_Rate</t>
  </si>
  <si>
    <t>Sales_Unit_Gr_Prod_Yr_Sc1x["Products.Product_1", "Sales_Locations.Location_1", DATE(2011,4,1)]|=2*F23-E23</t>
  </si>
  <si>
    <t>Price_List_Prod*Sales_Units_Prod</t>
  </si>
  <si>
    <t>Long Liabilities</t>
  </si>
  <si>
    <t>((1+Interest_Rate_Short_Yr)^(1/periods_per("year"))-1)*prev(Short_Debt)+((1+Interest_Rate_Long_Yr)^(1/periods_per("year"))-1)*Long_Loans+0-((1+Interest_Rate_Earned_Cash_Yr)^(1/periods_per("year"))-1)*Cash_Starting</t>
  </si>
  <si>
    <t>(Compute)'!Operating_Margin_Date</t>
  </si>
  <si>
    <t>Per_Employee_Exp_Yr["Depts.Sales", "Empl_Rel_Exp_Type.Travel_Entertain", DATE(2011,1,1)]|=0</t>
  </si>
  <si>
    <t>Tagged_Asset_Depr</t>
  </si>
  <si>
    <t>Employee_Count1_K_off["Depts.Marketing", "Job_Levels.Job_Level_2", DATE(2011,3,1)]|=if('(Tables)'!E148&lt;0.001+1/12, 0, if('(Tables)'!C172=0, 1, '(Tables)'!D172/'(Tables)'!C172)*E76)</t>
  </si>
  <si>
    <t>Employee_Bonus_pct["Depts.Marketing", "Job_Levels.Job_Level_1", DATE(2011,4,1)]|=F91</t>
  </si>
  <si>
    <t>Cash No Short Debt</t>
  </si>
  <si>
    <t>Purchases</t>
  </si>
  <si>
    <t>Per_Employee_Exp_Yr["Depts.Marketing", "Empl_Rel_Exp_Type.Other", DATE(2011,5,1)]|=G128</t>
  </si>
  <si>
    <t>Tag</t>
  </si>
  <si>
    <t>Sales_Units_Prod_Sc1x</t>
  </si>
  <si>
    <t>:A:0:Tagged_Asset_Purch</t>
  </si>
  <si>
    <t>:A:-1:Dir_Matl_Cost_per_U_Prod</t>
  </si>
  <si>
    <t>Price_List_Prod["Products.Product_2", DATE(2011,3,1)]|=E34+1*E34*0-E34*0</t>
  </si>
  <si>
    <t>Employee_Count1_K_off["Depts.Sales", "Job_Levels.Job_Level_2", DATE(2011,1,1)]|=if('(Tables)'!C148&lt;0.001+1/12, 0, if(0=0, 1, '(Tables)'!B172/0)*0)</t>
  </si>
  <si>
    <t>Inventory_FG</t>
  </si>
  <si>
    <t>Long_Loans[DATE(2011,6,1)]|=I218</t>
  </si>
  <si>
    <t>Assumed growth rate of product sales units, by time period. Based on the scenario the modeler specifies.</t>
  </si>
  <si>
    <t>Indirect Labor'!Employee_Count_Depts_Marketing_Job_Levels</t>
  </si>
  <si>
    <t>Inventory_FG_Turnover_Yr</t>
  </si>
  <si>
    <t>Dir Matl Cost / DM Unit</t>
  </si>
  <si>
    <t>Employee_Bonus_pct["Depts.Marketing", "Job_Levels.Job_Level_1", DATE(2011,5,1)]|=G91</t>
  </si>
  <si>
    <t>:D:2:Liabilities</t>
  </si>
  <si>
    <t>:A:0:Employee_Rel_Exp</t>
  </si>
  <si>
    <t>:A:-1:Revenue_Prod_Growth_display</t>
  </si>
  <si>
    <t>Assets.Short.Inventory</t>
  </si>
  <si>
    <t>Sales_Units_Prod_Sc1x["Products.Product_2", "Sales_Locations.Location_2", DATE(2011,4,1)]|=(1+'(Tables)'!E25)*F21</t>
  </si>
  <si>
    <t>Raw Matl Inventory</t>
  </si>
  <si>
    <t>:D:1:Equity</t>
  </si>
  <si>
    <t>Sales_Unit_Gr_Prod_Yr_Sc1x["Products.Product_2", "Sales_Locations.Location_2", DATE(2011,3,1)]|=2*E26-D26</t>
  </si>
  <si>
    <t>Wage_Incr_pct[DATE(2011,1,1)]|=0</t>
  </si>
  <si>
    <t>Revenue</t>
  </si>
  <si>
    <t>:A:-1:Chg_Accts_Pay</t>
  </si>
  <si>
    <t>:A:-1:Inventory_Raw_Matl_U_Init</t>
  </si>
  <si>
    <t>TRUE</t>
  </si>
  <si>
    <t>Depts, Job_Levels</t>
  </si>
  <si>
    <t>Annual interest rate on long-term debt, quoted for each time period. The model expresses all input interest rates in annual terms.</t>
  </si>
  <si>
    <t>Equity</t>
  </si>
  <si>
    <t>Direct Cost - Products</t>
  </si>
  <si>
    <t xml:space="preserve">  Facil_Util_Exp</t>
  </si>
  <si>
    <t>Total uses of cash, by time period</t>
  </si>
  <si>
    <t>Operating margin amount, per time period</t>
  </si>
  <si>
    <t>The average wage payment per time period to each employee, segmented by department and job level</t>
  </si>
  <si>
    <t>:D:2:Liabilities.Short.AcctsPay</t>
  </si>
  <si>
    <t>:A:0:Sales_Commis_Rev_Share</t>
  </si>
  <si>
    <t>:A:-1:Tagged_Asset_Life_Phys_Yr</t>
  </si>
  <si>
    <t>Facil_Other_Exp_Yr[DATE(2011,5,1)]|=G112</t>
  </si>
  <si>
    <t>Price_Discount_pct_Prod["Products.Product_2", "Sales_Locations.Location_2", DATE(2011,1,1)]|=0.05</t>
  </si>
  <si>
    <t>Tagged_Asset_Life_Depr_Period</t>
  </si>
  <si>
    <t>Net_Stock_Issue[DATE(2011,3,1)]|=0</t>
  </si>
  <si>
    <t>Accts_Rec_Prod_Init</t>
  </si>
  <si>
    <t>Inventory_FG_Targ_Days["Products.Product_2", DATE(2011,4,1)]|=F172</t>
  </si>
  <si>
    <t>ifm(Time&lt;=0.001, Inventory_FG_Units_Init, prev(Inventory_FG_Units)+Prodn_Units-Sales_Units_Prod)</t>
  </si>
  <si>
    <t>:A:0:Equity</t>
  </si>
  <si>
    <t>(Tables)'!Employee_Count1_K_off_Depts_Marketing_Job_Levels</t>
  </si>
  <si>
    <t>(Compute)'!Gross_Margin_Time_Period</t>
  </si>
  <si>
    <t>:A:0:Taxable_Income</t>
  </si>
  <si>
    <t>Depts, OpExpType.Gen_Admin_Exp</t>
  </si>
  <si>
    <t>Counts time in periods of model time, starting from the beginning of model time</t>
  </si>
  <si>
    <t>The number of units of raw material per product production unit</t>
  </si>
  <si>
    <t>Job Level2</t>
  </si>
  <si>
    <t>:A:-1:Dir_OH_Cost_per_U_Prod_In</t>
  </si>
  <si>
    <t>Interest_Rate_Long_Yr[DATE(2011,2,1)]|=D138</t>
  </si>
  <si>
    <t>Total sources of cash, by time period</t>
  </si>
  <si>
    <t xml:space="preserve">    Bonds</t>
  </si>
  <si>
    <t>Price_Discount_pct_Prod["Products.Product_1", "Sales_Locations.Location_1", DATE(2011,4,1)]|=F36</t>
  </si>
  <si>
    <t>if(Revenue=0, 0, Operating_Exp["Depts.Marketing"]/Revenue)</t>
  </si>
  <si>
    <t xml:space="preserve">  Employee_Rel_Exp</t>
  </si>
  <si>
    <t>Employee headcount, segmented by department and job level, by time period. The employee count is rounded to half-integers.
Headcount is determined by explicit input data, and in some versions, by a revenue-driven formula for later time periods.</t>
  </si>
  <si>
    <t>Price_Discount_pct_Prod["Products.Product_1", "Sales_Locations.Location_2", DATE(2011,4,1)]|=F37</t>
  </si>
  <si>
    <t>:A:0:Employee_Bonus</t>
  </si>
  <si>
    <t>Office_Rent_Rate_Yr[DATE(2011,5,1)]|=G109</t>
  </si>
  <si>
    <t>Operating expense, segmented by department and expense type, by time period</t>
  </si>
  <si>
    <t>Direct_Cost</t>
  </si>
  <si>
    <t>Per_Employee_Exp_Yr["Depts.Marketing", "Empl_Rel_Exp_Type.Travel_Entertain", DATE(2011,6,1)]|=H127</t>
  </si>
  <si>
    <t>Employee_Count1_K_off["Depts.Sales", "Job_Levels.Job_Level_2", DATE(2011,3,1)]|=if('(Tables)'!E148&lt;0.001+1/12, 0, if('(Tables)'!C172=0, 1, '(Tables)'!D172/'(Tables)'!C172)*E74)</t>
  </si>
  <si>
    <t>Bonds</t>
  </si>
  <si>
    <t>:A:0:Chg_Accts_Pay</t>
  </si>
  <si>
    <t>Per_Employee_Exp_Yr*Employee_Count/periods_per("year")</t>
  </si>
  <si>
    <t>Dir Cost Type</t>
  </si>
  <si>
    <t>Revenue_Prod+0+0</t>
  </si>
  <si>
    <t>The amount of accounts payables at the end of a time period measured as a number of days of revenue</t>
  </si>
  <si>
    <t>(Compute)'!Employee_Count1_K_off_Date</t>
  </si>
  <si>
    <t>Gen_Admin_Exp_K_off["Depts.Marketing", "GA_Exp.IT_Expense", DATE(2011,2,1)]|=D118*if(IncStmt!B6=0, 1, IncStmt!C6/IncStmt!B6)</t>
  </si>
  <si>
    <t>preve(" ", if(Revenue_Prod=0, 0, next(Revenue_Prod)/Revenue_Prod-1))</t>
  </si>
  <si>
    <t>Sales_Commis_Rev_Share[DATE(2011,1,1)]|=1</t>
  </si>
  <si>
    <t xml:space="preserve">  Gen_Admin_Exp</t>
  </si>
  <si>
    <t>:A:0:Debt_Ratio</t>
  </si>
  <si>
    <t>A hierarchical list of the types of liabilities that are tracked separately in the plan</t>
  </si>
  <si>
    <t>Sales channels or geographic locations that segment sales revenue and sales units.</t>
  </si>
  <si>
    <t>Interest_Rate_Short_Yr</t>
  </si>
  <si>
    <t>Cash_Sources.Chg_Long_Term_Debt</t>
  </si>
  <si>
    <t xml:space="preserve">  Dir_Overhead</t>
  </si>
  <si>
    <t>Initial FG Inventory U</t>
  </si>
  <si>
    <t>Short_Debt[DATE(2011,5,1)]|=max(0, '(Compute)'!G7-'(Tables)'!G244)</t>
  </si>
  <si>
    <t>Wage_Tax_pct[DATE(2011,1,1)]|=0.10</t>
  </si>
  <si>
    <t>Cash_Uses.Chg_Accts_Receivable</t>
  </si>
  <si>
    <t>if(Revenue=0, 0, Operating_Exp["Depts.Sales"]/Revenue)</t>
  </si>
  <si>
    <t>Measured growth rate of product sales units. This differs from the input assumption for growth rate because of integer rounding of sales units. This version replaces blanks in the display version with zeros for computation.</t>
  </si>
  <si>
    <t>Deprec Period</t>
  </si>
  <si>
    <t>Cash-Cash_Starting</t>
  </si>
  <si>
    <t>Per_Employee_Exp_Yr["Depts.Sales", "Empl_Rel_Exp_Type.Supplies", DATE(2011,6,1)]|=H123</t>
  </si>
  <si>
    <t xml:space="preserve">  New_Cap_d_Development</t>
  </si>
  <si>
    <t>Tagged_Asset_Salvage_Value["Asset_Tags.Asset_1"]|=0</t>
  </si>
  <si>
    <t>0+Tagged_Asset_Purch</t>
  </si>
  <si>
    <t>:A:-1:Inventory_FG_Targ_Days</t>
  </si>
  <si>
    <t>:A:-1:Direct_Cost</t>
  </si>
  <si>
    <t>Sales_Units_Prod_Sc1x["Products.Product_2", "Sales_Locations.Location_1", DATE(2011,5,1)]|=(1+'(Tables)'!F24)*G20</t>
  </si>
  <si>
    <t>:D:-1:Asset_Tags</t>
  </si>
  <si>
    <t>Inputs!Employee_Count1_K_off_Depts_Sales_Job_Levels_Job_Level_2</t>
  </si>
  <si>
    <t>Depr Method</t>
  </si>
  <si>
    <t>:A:0:Revenue_Prod_Growth_display</t>
  </si>
  <si>
    <t>:A:0:Tagged_Asset_Depr</t>
  </si>
  <si>
    <t>Accts_Pay_Targ_Days["Accts_Pay_Type.Vendor_Pay", DATE(2011,2,1)]|=E205</t>
  </si>
  <si>
    <t>:A:0:Revenue_Orders</t>
  </si>
  <si>
    <t xml:space="preserve">    Long_Term_Loans</t>
  </si>
  <si>
    <t>:A:0:Gen_Admin_Exp</t>
  </si>
  <si>
    <t>:A:-1:Asset_Turnover</t>
  </si>
  <si>
    <t>Measured growth rate of product sales units. This differs from the input assumption for growth rate because of integer rounding of sales units.</t>
  </si>
  <si>
    <t>:A:0:Wage_Tax_pct</t>
  </si>
  <si>
    <t>Dir_OH_Cost_per_U_Prod_In["Products.Product_2", DATE(2011,5,1)]|=G64*1</t>
  </si>
  <si>
    <t>New Cap'd Development</t>
  </si>
  <si>
    <t>Sales!Revenue_Sales_Locations_Location_1</t>
  </si>
  <si>
    <t>Wage_Average_Initial_Yr["Job_Levels.Job_Level_1", "Depts.Sales"]|=80000</t>
  </si>
  <si>
    <t>Dir_Matl_U_per_Prodn_U["Products.Product_1", DATE(2011,2,1)]|=E51*1</t>
  </si>
  <si>
    <t>Payroll tax rate as a percentage of payroll. Wages and salaries, bonuses and commissions are taxed, benefits are not taxed.</t>
  </si>
  <si>
    <t>:A:0:Bad_Debt_pct</t>
  </si>
  <si>
    <t>The estimated amount of accounts receivable at the end of a time period. Product sales generate accounts receivable; support and contract sales do not (assuming they are included in the model).</t>
  </si>
  <si>
    <t>GA_Exp</t>
  </si>
  <si>
    <t>Sales_Units_Prod_Sc1x["Products.Product_2", "Sales_Locations.Location_1", DATE(2011,2,1)]|=(1+'(Tables)'!C24)*D20</t>
  </si>
  <si>
    <t>Return on Assets</t>
  </si>
  <si>
    <t>Employee_Count*Wage_Average</t>
  </si>
  <si>
    <t>Inventory_FG_Init["Products.Product_2"]|=0/2</t>
  </si>
  <si>
    <t>Book value of stock issued less buy-backs, by time period. This version is truncated to model time for use in display.</t>
  </si>
  <si>
    <t>Annualized employee-related expense per employee, segmented by department and by expense type, by time period</t>
  </si>
  <si>
    <t>if("Direct"="Direct", (1+Discount_Rate_Direct_Yr)^(1/periods_per("year"))-1, if("Direct"="CAPM", (1+(0+0*0)*(1-Debt_Ratio)+Interest_Rate_Long_Yr*(1-Income_Tax_Rate)*Debt_Ratio)^(1/periods_per("year"))-1, 0))</t>
  </si>
  <si>
    <t>A list of the assets that are tagged for separate depreciation in the plan.</t>
  </si>
  <si>
    <t>:A:0:Cash_Starting</t>
  </si>
  <si>
    <t>Wage_Incr_AnnualQ[]|=True</t>
  </si>
  <si>
    <t>Bad Debt Expense</t>
  </si>
  <si>
    <t>Tagged_Asset_Life_Phys_Yr</t>
  </si>
  <si>
    <t>:A:-1:G_A_Exp_Ratio</t>
  </si>
  <si>
    <t>:D:0:Dir_Cost_Types</t>
  </si>
  <si>
    <t>preve(" ", if(Revenue=0, 0, next(Revenue)/Revenue-1))</t>
  </si>
  <si>
    <t xml:space="preserve">Target levels of raw inventory, expressed as a number of days of unit sales. Segmented by dierct material type and time period. Used to compute inventory and purchases of raw materials. </t>
  </si>
  <si>
    <t>:A:-1:Inventory_FG_Turnover_Yr</t>
  </si>
  <si>
    <t>Theoretical revenue from product sales, if sold at list price, segmented by product, by time period. Used to compute product price discount % and product list prices averaged over products.</t>
  </si>
  <si>
    <t>Office_Space_per_Person[DATE(2011,5,1)]|=G108</t>
  </si>
  <si>
    <t>Direct_Cost["Dir_Cost_Types.Dir_Material"]+Direct_Cost["Dir_Cost_Types.Dir_Overhead"]+Employee_Rel_Exp+Long_Asset_Purch+Facil_Util_Exp</t>
  </si>
  <si>
    <t>Sales_Unit_Gr_Prod_Yr_Sc1x["Products.Product_1", "Sales_Locations.Location_1", DATE(2011,1,1)]|=2*0-0</t>
  </si>
  <si>
    <t>Interest_Rate_Long_Yr[DATE(2011,1,1)]|=0</t>
  </si>
  <si>
    <t>if(Time&lt;0.001+1/periods_per("year"), Wage_Average_Initial_Yr/periods_per("year"), (1+Wage_incr_period_pct)*preve(0, Wage_Average))</t>
  </si>
  <si>
    <t>:D:0:Cash_Uses.New_Cap_d_Development</t>
  </si>
  <si>
    <t>Net_Stock_Issue[DATE(2011,1,1)]|=0</t>
  </si>
  <si>
    <t>Chg_Accts_Rec</t>
  </si>
  <si>
    <t>Product Family</t>
  </si>
  <si>
    <t>:A:0:Short_Debt</t>
  </si>
  <si>
    <t>(Tables)'!Gross_Margin_Prod_Products_Product_1_Sales_Locations_Location_1</t>
  </si>
  <si>
    <t>Bad_Debt_pct[DATE(2011,3,1)]|=E140</t>
  </si>
  <si>
    <t>Dir_Matl_U_per_Prodn_U["Products.Product_1", DATE(2011,4,1)]|=G51*1</t>
  </si>
  <si>
    <t>Office rental expense ($/Sqft/Yr), by time period. Applies only to space that is allocated by employee count, not to space that is independent of employee count.</t>
  </si>
  <si>
    <t>:A:-1:Discount_Rate_Direct_Yr</t>
  </si>
  <si>
    <t>Sales_Units_Prod_Sc1x["Products.Product_1", "Sales_Locations.Location_1", DATE(2011,1,1)]|=(1+'(Tables)'!B20)*0</t>
  </si>
  <si>
    <t>:A:0:Cash_Flow_Check</t>
  </si>
  <si>
    <t>(Ranges)'!Liabilities_Liabilities</t>
  </si>
  <si>
    <t>Price_List_Prod["Products.Product_1", DATE(2011,2,1)]|=D33+1*D33*0-D33*0</t>
  </si>
  <si>
    <t>Chg_Bond_Principal</t>
  </si>
  <si>
    <t xml:space="preserve">Direct Labor Cost / U </t>
  </si>
  <si>
    <t>Per_Employee_Exp_Yr["Depts.Sales", "Empl_Rel_Exp_Type.Other", DATE(2011,6,1)]|=H125</t>
  </si>
  <si>
    <t>Change in inventory from the previous period. The model has a variable for this because (a) this amount will be displayed in the cash flow statement worksheet, and (b) this amount is used in several formulas so it is convenient to store it in a variable.</t>
  </si>
  <si>
    <t>if(Assets=0, 0, Revenue/Assets)</t>
  </si>
  <si>
    <t>:D:0:Cash_Sources.Chg_Long_Term_Debt</t>
  </si>
  <si>
    <t>Facil_Other_Exp_Yr</t>
  </si>
  <si>
    <t>:A:-1:Tagged_Assets</t>
  </si>
  <si>
    <t>Roll-up:</t>
  </si>
  <si>
    <t>(1-Price_Discount_pct_Prod)*Price_List_Prod*Sales_Units_Prod</t>
  </si>
  <si>
    <t>:A:0:Cash_Flow</t>
  </si>
  <si>
    <t>Dir_OH_Cost_per_U_Prod_In["Products.Product_1", DATE(2011,1,1)]|=0*1</t>
  </si>
  <si>
    <t>(Compute)'!Gross_Margin_Prod_Date</t>
  </si>
  <si>
    <t>Cash_Flow_Oper</t>
  </si>
  <si>
    <t>Net_Stock_Issue[DATE(2010,12,1)]|=0</t>
  </si>
  <si>
    <t>prev(Time)+1/periods_per("year")</t>
  </si>
  <si>
    <t>:A:0:Loss_Forward</t>
  </si>
  <si>
    <t>Revenue_Orders</t>
  </si>
  <si>
    <t>Office_Utilities_Rate_Yr[DATE(2011,1,1)]|=0</t>
  </si>
  <si>
    <t>Book value of equity, segmented by paid-in capital and retained earnings</t>
  </si>
  <si>
    <t>Cash_Starting</t>
  </si>
  <si>
    <t>Wage_Incr_pct[DATE(2011,5,1)]|=G85</t>
  </si>
  <si>
    <t>:D:1:OpExpType</t>
  </si>
  <si>
    <t>:D:0:Equity.RetainedEarnings</t>
  </si>
  <si>
    <t>:A:-1:Accts_Rec_Days_Prod</t>
  </si>
  <si>
    <t>Chg Short-Term Debt</t>
  </si>
  <si>
    <t>Interest_Rate_Earned_Cash_Yr[DATE(2011,3,1)]|=E139</t>
  </si>
  <si>
    <t>Bad_Debt_pct*Accts_Receivable</t>
  </si>
  <si>
    <t>The fraction of revenue on which commission is paid, per time period.</t>
  </si>
  <si>
    <t>Office utilities expense ($/Sqft/Yr), by time period</t>
  </si>
  <si>
    <t>Price_List_Prod["Products.Product_2", DATE(2011,6,1)]|=H34+1*H34*0-H34*0</t>
  </si>
  <si>
    <t>OpExp!Operating_Exp_Depts_Marketing_OpExpType</t>
  </si>
  <si>
    <t>:A:-1:Loss_Forward</t>
  </si>
  <si>
    <t>Dir_Matl_U_per_Prodn_U["Products.Product_1", DATE(2011,5,1)]|=H51*1</t>
  </si>
  <si>
    <t>Interest_Rate_Earned_Cash_Yr[DATE(2011,1,1)]|=0</t>
  </si>
  <si>
    <t xml:space="preserve">  Dept_Exp_Accts</t>
  </si>
  <si>
    <t>Interest_Rate_Earned_Cash_Yr[DATE(2011,2,1)]|=D139</t>
  </si>
  <si>
    <t>:D:2:Liabilities.Short</t>
  </si>
  <si>
    <t>Inventory_FG-prev(Inventory_FG)+Inventory_Raw_Matl-prev(Inventory_Raw_Matl)</t>
  </si>
  <si>
    <t>(Compute)'!Employee_Count_Date</t>
  </si>
  <si>
    <t>Sales Units, Products</t>
  </si>
  <si>
    <t>(Compute)'!Assets_Time_Period</t>
  </si>
  <si>
    <t>Sales_Commis_Rate[DATE(2011,4,1)]|=F94</t>
  </si>
  <si>
    <t>Sales!Revenue_Prod_Products_Product_1_Sales_Locations_Location_1</t>
  </si>
  <si>
    <t>(Ranges)'!Equity_Equity_PaidinCap</t>
  </si>
  <si>
    <t>Depts, Empl_Rel_Exp_Type</t>
  </si>
  <si>
    <t>Sales_Unit_Gr_Prod_Yr_Sc1x["Products.Product_1", "Sales_Locations.Location_2", DATE(2011,3,1)]|=2*E24-D24</t>
  </si>
  <si>
    <t>Price_Discount_pct_Prod</t>
  </si>
  <si>
    <t>Inventory_Raw_Targ_Days</t>
  </si>
  <si>
    <t>Revenue CAGR (ex Yr1)</t>
  </si>
  <si>
    <t>The ratio (trailing annual net income) / (book value of equity), by time period</t>
  </si>
  <si>
    <t>:A:-1:Gen_Admin_Exp_K_off</t>
  </si>
  <si>
    <t>:D:0:Assets</t>
  </si>
  <si>
    <t>Direct Labor Cost / U / Yr</t>
  </si>
  <si>
    <t>Employee_Count</t>
  </si>
  <si>
    <t>if(Time&lt;0.001+1/periods_per("year"), 0, preve(0)*ifm(or(diminfo("Depts", 0)="Marketing", diminfo("Depts", 0)="Sales"), if(preve(0, Revenue_Orders["Products", "Sales_Locations"])=0, 1, Revenue_Orders["Products", "Sales_Locations"]/preve(0, Revenue_Orders["Products", "Sales_Locations"])), if(preve(0, Revenue["Products", "Sales_Locations"])=0, 1, Revenue["Products", "Sales_Locations"]/preve(0, Revenue["Products", "Sales_Locations"]))))</t>
  </si>
  <si>
    <t>:A:0:Long_Assets</t>
  </si>
  <si>
    <t>Price_Discount_pct_Prod["Products.Product_1", "Sales_Locations.Location_1", DATE(2011,6,1)]|=H36</t>
  </si>
  <si>
    <t>Accts_Pay_Type.Payroll_Pay</t>
  </si>
  <si>
    <t>:D:2:OpExpType.Indir_Labor_Exp</t>
  </si>
  <si>
    <t>Facil_Other_Exp_Yr[DATE(2011,4,1)]|=F112</t>
  </si>
  <si>
    <t>Price_Discount_pct_Prod["Products.Product_1", "Sales_Locations.Location_1", DATE(2011,2,1)]|=D36</t>
  </si>
  <si>
    <t>Accts_Payable_Init["Accts_Pay_Type.Vendor_Pay"]|=0/3</t>
  </si>
  <si>
    <t>:D:2:Sales_Locations</t>
  </si>
  <si>
    <t>:A:-1:Chg_Bond_Principal</t>
  </si>
  <si>
    <t>:D:2:Products</t>
  </si>
  <si>
    <t>0+0</t>
  </si>
  <si>
    <t>Per_Employee_Exp_Yr["Depts.Marketing", "Empl_Rel_Exp_Type.Supplies", DATE(2011,6,1)]|=H126</t>
  </si>
  <si>
    <t>Office_Space_per_Person[DATE(2011,2,1)]|=D108</t>
  </si>
  <si>
    <t>Price_List_Prod</t>
  </si>
  <si>
    <t>:D:0:Sales_Locations</t>
  </si>
  <si>
    <t>:D:0:Cash_Uses.Chg_Inventory</t>
  </si>
  <si>
    <t>:A:0:Price_Discount_pct_Prod</t>
  </si>
  <si>
    <t>Tagged_Assets</t>
  </si>
  <si>
    <t>Cash_Sources.Chg_Bond_Principal</t>
  </si>
  <si>
    <t>Price_Discount_pct_Prod["Products.Product_2", "Sales_Locations.Location_1", DATE(2011,1,1)]|=0.05</t>
  </si>
  <si>
    <t>:A:-1:Long_Loans</t>
  </si>
  <si>
    <t>:D:0:Empl_Rel_Exp_Type.Other</t>
  </si>
  <si>
    <t>:A:0:Dir_Matl_Cost_per_DM_U_Prod</t>
  </si>
  <si>
    <t>Return_on_Assets</t>
  </si>
  <si>
    <t>Change in Bond principal from the previous period. The model has a variable for this because (a) this amount will be displayed in the cash flow statement worksheet, and (b) this amount is used in several formulas so it is convenient to store it in a variable.</t>
  </si>
  <si>
    <t>Chg Short Debt</t>
  </si>
  <si>
    <t>:A:-1:Dir_Matl_U_per_Prodn_U</t>
  </si>
  <si>
    <t>:A:0:Facil_Util_Exp</t>
  </si>
  <si>
    <t>Cash balance that would be at the end of each accounting period if the company ends the period with no short term debt. Cash receipts and total direct cost are used here (not revenue and cost of goods and services). This amount is computed, then the policy for determining the amount of short term debt is applied, then the period-ending cash balance can be computed.</t>
  </si>
  <si>
    <t>Revenue_Growth</t>
  </si>
  <si>
    <t>:D:1:Cash_Sources</t>
  </si>
  <si>
    <t>Employee_Bonus_pct["Depts.Sales", "Job_Levels.Job_Level_1", DATE(2011,6,1)]|=H89</t>
  </si>
  <si>
    <t>Operating Cash Flow</t>
  </si>
  <si>
    <t>:A:0:Chg_Inventory</t>
  </si>
  <si>
    <t>Price_Discount_pct_Prod["Products.Product_1", "Sales_Locations.Location_1", DATE(2011,1,1)]|=0.05</t>
  </si>
  <si>
    <t>The salvage value of each tagged asset, assigned to the time period that includes the end of life. This variable is needed to express the salvage value in a time-dependent table needed for cash flow computations.</t>
  </si>
  <si>
    <t>Marketing department expense, by time period. In early time periods, specified as explicit numbers; in later time periods, computed using Cobb-Douglas function of revenue</t>
  </si>
  <si>
    <t>:A:0:Price_Average_Prod</t>
  </si>
  <si>
    <t>Target level of finished inventory, expressed as a number of days of unit sales, segmented by product, for each time period. Used to compute production units requirements. Rollups over products are weighted by COGS.</t>
  </si>
  <si>
    <t>Sales!Revenue_Prod_Products_Product_2_Sales_Locations_Location_1</t>
  </si>
  <si>
    <t>IncStmt!Revenue_Sales_Locations</t>
  </si>
  <si>
    <t xml:space="preserve">  Dir_Labor</t>
  </si>
  <si>
    <t>:A:-1:Inventory_FG_Units_Init</t>
  </si>
  <si>
    <t>Price_Discount_pct_Prod["Products.Product_1", "Sales_Locations.Location_1", DATE(2011,5,1)]|=G36</t>
  </si>
  <si>
    <t>Purchases_Short_Term</t>
  </si>
  <si>
    <t>:D:-1:Empl_Rel_Exp_Type</t>
  </si>
  <si>
    <t>Cost of goods for product units sold, segmented by product, by cost type, and by time period</t>
  </si>
  <si>
    <t>:A:-1:Contracts_Term_Yr</t>
  </si>
  <si>
    <t>Employee_Count1_K_off["Depts.Sales", "Job_Levels.Job_Level_1", DATE(2011,1,1)]|=if('(Tables)'!C148&lt;0.001+1/12, 0, if(0=0, 1, '(Tables)'!B172/0)*0)</t>
  </si>
  <si>
    <t>Inventory_Raw_Matl_U*Dir_Matl_Cost_per_DM_U_Prod</t>
  </si>
  <si>
    <t>Cash_Sources</t>
  </si>
  <si>
    <t>Product Sales Unit Growth</t>
  </si>
  <si>
    <t>:A:0:Time_Period</t>
  </si>
  <si>
    <t>Wage_Incr_pct[DATE(2011,6,1)]|=H85</t>
  </si>
  <si>
    <t>Job levels that are tracked separately in the plan</t>
  </si>
  <si>
    <t>Per_Employee_Exp_Yr["Depts.Marketing", "Empl_Rel_Exp_Type.Other", DATE(2011,6,1)]|=H128</t>
  </si>
  <si>
    <t>Sales_Commis_Rate[DATE(2011,5,1)]|=G94</t>
  </si>
  <si>
    <t>:D:0:Empl_Rel_Exp_Type</t>
  </si>
  <si>
    <t>:D:2:Products.Product_1</t>
  </si>
  <si>
    <t>Gross Margin</t>
  </si>
  <si>
    <t>Sales_Unit_Growth_Prod_In</t>
  </si>
  <si>
    <t>Cost of Goods - Products</t>
  </si>
  <si>
    <t>Determines whether the rate of increase in wages is interpreted as an annual rate or as the rate of increase that is applied in each time period</t>
  </si>
  <si>
    <t>:A:-1:Accts_Rec_Prod_Init</t>
  </si>
  <si>
    <t>:A:0:Tagged_Asset_Life_Depr_Yr</t>
  </si>
  <si>
    <t>if(Liabilities["Liabilities.Short"]=0, 0, (Assets["Assets.Short"]-Assets["Assets.Short.Inventory"])/Liabilities["Liabilities.Short"])</t>
  </si>
  <si>
    <t>Equity.PaidinCap</t>
  </si>
  <si>
    <t>:A:-1:Dir_Matl_Cost_per_DM_U_Prod</t>
  </si>
  <si>
    <t>:A:0:Revenue_Growth_display</t>
  </si>
  <si>
    <t>:A:-1:Paid_In_Capital</t>
  </si>
  <si>
    <t>Price_Discount_pct_Prod["Products.Product_1", "Sales_Locations.Location_2", DATE(2011,1,1)]|=0.05</t>
  </si>
  <si>
    <t>Price_Discount_pct_Prod["Products.Product_2", "Sales_Locations.Location_1", DATE(2011,4,1)]|=F38</t>
  </si>
  <si>
    <t>Sales_Unit_Gr_Prod_Yr_Sc1x["Products.Product_2", "Sales_Locations.Location_2", DATE(2011,4,1)]|=2*F26-E26</t>
  </si>
  <si>
    <t>Accts_Pay_Targ_Days["Accts_Pay_Type.Payroll_Pay", DATE(2011,4,1)]|=G206</t>
  </si>
  <si>
    <t>:A:0:Operating_Margin_pct</t>
  </si>
  <si>
    <t>:D:0:OpExpType.Programs</t>
  </si>
  <si>
    <t>:D:1:Assets.Short</t>
  </si>
  <si>
    <t>:A:0:Discount_Rate_Direct_Yr</t>
  </si>
  <si>
    <t>Purchases Raw Matl U</t>
  </si>
  <si>
    <t>Employee_Bonus_pct["Depts.Marketing", "Job_Levels.Job_Level_1", DATE(2011,6,1)]|=H91</t>
  </si>
  <si>
    <t>Price_Discount_pct_Prod["Products.Product_1", "Sales_Locations.Location_2", DATE(2011,6,1)]|=H37</t>
  </si>
  <si>
    <t>Space (Sqft/Person)</t>
  </si>
  <si>
    <t>Contracts_Term_Yr</t>
  </si>
  <si>
    <t>General &amp; administrative expense</t>
  </si>
  <si>
    <t>Initial Raw Inventory</t>
  </si>
  <si>
    <t>Employee_Count1_K_off["Depts.Marketing", "Job_Levels.Job_Level_1", DATE(2011,5,1)]|=if('(Tables)'!G148&lt;0.001+1/12, 0, if('(Tables)'!E172=0, 1, '(Tables)'!F172/'(Tables)'!E172)*G75)</t>
  </si>
  <si>
    <t>Cash_Sources.Net_Income</t>
  </si>
  <si>
    <t>:D:0:Accts_Pay_Type.Vendor_Pay</t>
  </si>
  <si>
    <t>Price_Discount_pct_Prod["Products.Product_1", "Sales_Locations.Location_2", DATE(2011,2,1)]|=D37</t>
  </si>
  <si>
    <t>Name of each tagged asset. Each tagged asset is considered sufficiently important to separately track its depreciation and book value.</t>
  </si>
  <si>
    <t>Gen_Admin_Exp_K_off["Depts.Marketing", "GA_Exp.IT_Expense", DATE(2011,3,1)]|=E118*if(IncStmt!C6=0, 1, IncStmt!D6/IncStmt!C6)</t>
  </si>
  <si>
    <t>Return on Sales %</t>
  </si>
  <si>
    <t>Employee_Bonus_pct["Depts.Marketing", "Job_Levels.Job_Level_2", DATE(2011,6,1)]|=H92</t>
  </si>
  <si>
    <t>Chg_Long_Debt</t>
  </si>
  <si>
    <t>:A:0:Return_on_Equity</t>
  </si>
  <si>
    <t>Office_Rent_Rate_Yr[DATE(2011,4,1)]|=F109</t>
  </si>
  <si>
    <t xml:space="preserve">  Asset_1</t>
  </si>
  <si>
    <t>:A:-1:Balance_Check</t>
  </si>
  <si>
    <t>Dir_OH_Cost_per_U_Prod_In["Products.Product_1", DATE(2011,6,1)]|=H63*1</t>
  </si>
  <si>
    <t>Revenue_Prod_Growth</t>
  </si>
  <si>
    <t>0+Tagged_Asset_Depr+0</t>
  </si>
  <si>
    <t>:A:-1:Cash_Flow</t>
  </si>
  <si>
    <t>:A:-1:Return_on_Assets</t>
  </si>
  <si>
    <t>:A:-1:Gross_Margin_Prod</t>
  </si>
  <si>
    <t>:A:0:Wage_incr_period_pct</t>
  </si>
  <si>
    <t>:A:0:Cash_Sources</t>
  </si>
  <si>
    <t>Sales!Revenue_Sales_Locations_Location_2</t>
  </si>
  <si>
    <t>:A:-1:Income_Tax</t>
  </si>
  <si>
    <t>:D:0:Cash_Uses.Long_Term_Asset_Purchases</t>
  </si>
  <si>
    <t>:A:0:Balance_Check</t>
  </si>
  <si>
    <t>:D:0:Assets.Short.Inventory</t>
  </si>
  <si>
    <t>:D:0:Cash_Sources.Chg_Bond_Principal</t>
  </si>
  <si>
    <t>Level As</t>
  </si>
  <si>
    <t>Loss_Forward</t>
  </si>
  <si>
    <t>OpExp!Operating_Exp_Depts_Marketing</t>
  </si>
  <si>
    <t xml:space="preserve">Units of raw material inventory, segmented by direct material type and time period. </t>
  </si>
  <si>
    <t>Loss Carry Forward</t>
  </si>
  <si>
    <t>:A:-1:Return_on_Sales_pct</t>
  </si>
  <si>
    <t>Mktg Exp Ratio</t>
  </si>
  <si>
    <t>Accts_Pay_Targ_Days["Accts_Pay_Type.Tax_Pay", DATE(2011,5,1)]|=H207</t>
  </si>
  <si>
    <t>Employee_Bonus_pct</t>
  </si>
  <si>
    <t>:A:0:Sales_Units_Prod_Sc1x</t>
  </si>
  <si>
    <t>Short Term Assets</t>
  </si>
  <si>
    <t>Dir Overhead</t>
  </si>
  <si>
    <t>Dir_Matl_U_per_Prodn_U["Products.Product_2", DATE(2011,3,1)]|=F52*1</t>
  </si>
  <si>
    <t>Tagged Asset Purch</t>
  </si>
  <si>
    <t>if(Inventory_FG=0, 0, periods_per("year")*Cost_of_Goods_n_Svcs/Inventory_FG)</t>
  </si>
  <si>
    <t>Price_Average_Prod</t>
  </si>
  <si>
    <t>Net_Stock_Issue[DATE(2011,2,1)]|=0</t>
  </si>
  <si>
    <t>Accounts Receivable</t>
  </si>
  <si>
    <t>Accts_Rec_Days_Prod[DATE(2011,3,1)]|=E180</t>
  </si>
  <si>
    <t>:A:-1:Current_Ratio</t>
  </si>
  <si>
    <t>A checksum. Equals Assets - Liabilities - Equity, which must be zero if assets, liabilities and equity are accounted for correctly</t>
  </si>
  <si>
    <t>Depts, OpExpType.Programs</t>
  </si>
  <si>
    <t>Average Prod Price</t>
  </si>
  <si>
    <t>Products, Dir_Matl_Types</t>
  </si>
  <si>
    <t>Dir_Matl_Cost_per_DM_U_Prod["Dir_Matl_Types", DATE(2011,6,1)]|=I54</t>
  </si>
  <si>
    <t>Price_Discount_pct_Prod["Products.Product_2", "Sales_Locations.Location_2", DATE(2011,6,1)]|=H39</t>
  </si>
  <si>
    <t>Office_Space_per_Person[DATE(2011,3,1)]|=E108</t>
  </si>
  <si>
    <t>Revenue - Products</t>
  </si>
  <si>
    <t>(Ranges)'!Liabilities_Liabilities_Long</t>
  </si>
  <si>
    <t>Sales!Revenue_Prod_Products</t>
  </si>
  <si>
    <t xml:space="preserve">  Sales</t>
  </si>
  <si>
    <t>Tagged_Asset_Salvage_CF</t>
  </si>
  <si>
    <t>Discount_Rate_Direct_Yr</t>
  </si>
  <si>
    <t>Deprec Life (periods)</t>
  </si>
  <si>
    <t>Dir_Matl_Cost_per_DM_U_Prod["Dir_Matl_Types", DATE(2011,2,1)]|=E54</t>
  </si>
  <si>
    <t>:A:-1:Operating_Margin_pct</t>
  </si>
  <si>
    <t>Inventory_FG_Targ_Days["Products.Product_1", DATE(2011,2,1)]|=D171</t>
  </si>
  <si>
    <t>:A:0:Accts_Pay_Targ_Days</t>
  </si>
  <si>
    <t>:A:0:Purch_Raw_Matl_U_Needs</t>
  </si>
  <si>
    <t>:A:-1:Cash_Sources</t>
  </si>
  <si>
    <t>The name of the organization for which the financial plan is made. The name is stored in a variable so that there is a single location where the name can be change in ModelSheet and in exported workbooks.</t>
  </si>
  <si>
    <t>:A:0:Income_Tax</t>
  </si>
  <si>
    <t>:A:0:Dir_Labor_Unapplied_Prod</t>
  </si>
  <si>
    <t>Inventory_FG_Targ_Days["Products.Product_1", DATE(2011,3,1)]|=E171</t>
  </si>
  <si>
    <t>Tagged Assets</t>
  </si>
  <si>
    <t>preve(" ", if(Revenue=0, " ", next(Revenue)/Revenue-1))</t>
  </si>
  <si>
    <t>:A:-1:Discount_Rate</t>
  </si>
  <si>
    <t>Long Interest %/Yr</t>
  </si>
  <si>
    <t>Quick_Ratio</t>
  </si>
  <si>
    <t>Sales Locations</t>
  </si>
  <si>
    <t>Wage_Average_Initial_Yr</t>
  </si>
  <si>
    <t>Rent ($/sqft/Yr)</t>
  </si>
  <si>
    <t>:A:-1:Cash_Starting</t>
  </si>
  <si>
    <t>:A:0:Chg_Long_Debt</t>
  </si>
  <si>
    <t>Price_List_Prod["Products.Product_2", DATE(2011,2,1)]|=D34+1*D34*0-D34*0</t>
  </si>
  <si>
    <t>preve(0, Paid_In_Capital)+Net_Stock_Issue</t>
  </si>
  <si>
    <t>OpExp!Operating_Exp_Depts_Sales_OpExpType_Employee_Rel_Exp</t>
  </si>
  <si>
    <t>Sales_Units_Prod_Sc1x["Products.Product_2", "Sales_Locations.Location_2", DATE(2011,1,1)]|=(1+'(Tables)'!B25)*0</t>
  </si>
  <si>
    <t>Employee_Count1_K_off["Depts.Sales", "Job_Levels.Job_Level_1", DATE(2011,3,1)]|=if('(Tables)'!E148&lt;0.001+1/12, 0, if('(Tables)'!C172=0, 1, '(Tables)'!D172/'(Tables)'!C172)*E73)</t>
  </si>
  <si>
    <t>The percentage by which average selling price of products is reduced from list price, segmented by product, by time period</t>
  </si>
  <si>
    <t>:D:0:Depts</t>
  </si>
  <si>
    <t>:A:-1:Employee_Rel_Exp</t>
  </si>
  <si>
    <t>Income tax rate</t>
  </si>
  <si>
    <t>Dir_Matl_Cost_per_DM_U_Prod["Dir_Matl_Types", DATE(2011,1,1)]|=D54</t>
  </si>
  <si>
    <t>Wage increase period %</t>
  </si>
  <si>
    <t>Cash_Flow</t>
  </si>
  <si>
    <t>Asset Tags</t>
  </si>
  <si>
    <t>Commis Rev Share</t>
  </si>
  <si>
    <t xml:space="preserve">    Deferred_Revenue</t>
  </si>
  <si>
    <t>Employee_Bonus</t>
  </si>
  <si>
    <t>Company_Name[]|</t>
  </si>
  <si>
    <t>Interest_Rate_Earned_Cash_Yr[DATE(2011,5,1)]|=G139</t>
  </si>
  <si>
    <t>:D:1:Liabilities</t>
  </si>
  <si>
    <t>:D:0:GA_Exp.IT_Expense</t>
  </si>
  <si>
    <t>Employee_Bonus_pct["Depts.Sales", "Job_Levels.Job_Level_1", DATE(2011,2,1)]|=D89</t>
  </si>
  <si>
    <t>Inventory_Raw_Matl_Init</t>
  </si>
  <si>
    <t>:A:0:Sales_Unit_Growth_Prod_In</t>
  </si>
  <si>
    <t>Sales!Revenue_Prod_Products_Product_1_Sales_Locations</t>
  </si>
  <si>
    <t>:D:0:Empl_Rel_Exp_Type.Travel_Entertain</t>
  </si>
  <si>
    <t>ifm(Time&lt;=0.001, Assets-Liabilities-Paid_In_Capital, prev(Retained_Earnings)+Net_Income-Dividend)</t>
  </si>
  <si>
    <t>Accts Payable</t>
  </si>
  <si>
    <t>if(sum(rangedru("Products", Cost_of_Goods_n_Svcs))=0, 0, sumproduct(rangedru("Products", Inventory_FG_Targ_Days), rangedru("Products", Cost_of_Goods_n_Svcs))/sum(rangedru("Products", Cost_of_Goods_n_Svcs)))</t>
  </si>
  <si>
    <t>Interest_Rate_Earned_Cash_Yr[DATE(2011,4,1)]|=F139</t>
  </si>
  <si>
    <t>Sales_Unit_Gr_Prod_Yr_Sc1x["Products.Product_2", "Sales_Locations.Location_1", DATE(2011,4,1)]|=2*F25-E25</t>
  </si>
  <si>
    <t>Inventory_FG_Init</t>
  </si>
  <si>
    <t>:A:-1:Price_Average_Prod</t>
  </si>
  <si>
    <t>Deferred Revenue</t>
  </si>
  <si>
    <t>Office_Maint_Rate_Yr</t>
  </si>
  <si>
    <t xml:space="preserve">  Travel_Entertain</t>
  </si>
  <si>
    <t>Per_Employee_Exp_Yr["Depts.Sales", "Empl_Rel_Exp_Type.Supplies", DATE(2011,1,1)]|=0</t>
  </si>
  <si>
    <t>Sales Commis Rate</t>
  </si>
  <si>
    <t>The amount of bad debt expense in each accounting period.</t>
  </si>
  <si>
    <t>Depreciation method for each tagged asset. Choose one of SLN, SYD, DDB, or None.</t>
  </si>
  <si>
    <t>Revenue Growth - Products</t>
  </si>
  <si>
    <t>:A:0:Inventory_Raw_Matl</t>
  </si>
  <si>
    <t>:A:-1:Revenue_CAGR</t>
  </si>
  <si>
    <t>:A:0:Dir_Labor_Cost_per_U_Sup_Yr_In</t>
  </si>
  <si>
    <t>Price_Discount_pct_Prod["Products.Product_1", "Sales_Locations.Location_1", DATE(2011,3,1)]|=E36</t>
  </si>
  <si>
    <t>Sales_Unit_Gr_Prod_Yr_Sc1x["Products.Product_1", "Sales_Locations.Location_2", DATE(2011,1,1)]|=2*0-0</t>
  </si>
  <si>
    <t xml:space="preserve">    Cash</t>
  </si>
  <si>
    <t>FG Inventory Targ Days</t>
  </si>
  <si>
    <t>:D:0:Empl_Rel_Exp_Type.Supplies</t>
  </si>
  <si>
    <t>The stock of paid in capital at the end of each time period</t>
  </si>
  <si>
    <t>The average annual wage to each employee, segmented by department and job level, in the initial time period. This variable and wage growth yield average wages in each time period.</t>
  </si>
  <si>
    <t>Per_Employee_Exp_Yr["Depts.Sales", "Empl_Rel_Exp_Type.Other", DATE(2011,4,1)]|=F125</t>
  </si>
  <si>
    <t>Asset 1</t>
  </si>
  <si>
    <t>Cash_Sources.Chg_Short_Term_Debt</t>
  </si>
  <si>
    <t xml:space="preserve">  Job_Level_1</t>
  </si>
  <si>
    <t>:A:0:Return_on_Assets</t>
  </si>
  <si>
    <t>Initial asset value of each tagged asset</t>
  </si>
  <si>
    <t>Cogs_Types</t>
  </si>
  <si>
    <t>:A:0:Revenue_Growth</t>
  </si>
  <si>
    <t>Losses carried forward from preivous time periods, for use in computation of income tax expense</t>
  </si>
  <si>
    <t>Short_Debt[DATE(2011,4,1)]|=max(0, '(Compute)'!F7-'(Tables)'!F244)</t>
  </si>
  <si>
    <t>Office_Rent_Rate_Yr</t>
  </si>
  <si>
    <t>Facil_Other_Exp_Yr[DATE(2011,3,1)]|=E112</t>
  </si>
  <si>
    <t>Indir_Labor_Exp</t>
  </si>
  <si>
    <t>The ratio (sales department expense) / revenue, by time period</t>
  </si>
  <si>
    <t>Per_Employee_Exp_Yr["Depts.Marketing", "Empl_Rel_Exp_Type.Other", DATE(2011,2,1)]|=D128</t>
  </si>
  <si>
    <t>Chg Accts Receivable</t>
  </si>
  <si>
    <t>Sales_Unit_Gr_Prod_Yr_Sc1x["Products.Product_1", "Sales_Locations.Location_2", DATE(2011,6,1)]|=2*H24-G24</t>
  </si>
  <si>
    <t>Facil_Other_Exp_Yr[DATE(2011,1,1)]|=0</t>
  </si>
  <si>
    <t>List Price - Products</t>
  </si>
  <si>
    <t>(Ranges)'!Liabilities_Liabilities_Short</t>
  </si>
  <si>
    <t>Chg_Inventory</t>
  </si>
  <si>
    <t>:A:0:Sales_Units_RoundQ</t>
  </si>
  <si>
    <t>Employee-Related</t>
  </si>
  <si>
    <t>if(Wage_Incr_AnnualQ, (1+Wage_Incr_pct)^(1/periods_per("year"))-1, Wage_Incr_pct)</t>
  </si>
  <si>
    <t>Revenue_Prod</t>
  </si>
  <si>
    <t>:A:0:Tagged_Asset_Life_Phys_Yr</t>
  </si>
  <si>
    <t>Equity.RetainedEarnings</t>
  </si>
  <si>
    <t>Inventory_FG_Init["Products.Product_1"]|=0/2</t>
  </si>
  <si>
    <t>Facilities and utilities expense per time period, segmented by department</t>
  </si>
  <si>
    <t>Inventory_Raw_Targ_Days["Dir_Matl_Types", DATE(2011,3,1)]|=E169</t>
  </si>
  <si>
    <t>Office_Utilities_Rate_Yr[DATE(2011,6,1)]|=H110</t>
  </si>
  <si>
    <t>Sales_Unit_Gr_Prod_Yr_Sc1x["Products.Product_1", "Sales_Locations.Location_1", DATE(2011,3,1)]|=2*E23-D23</t>
  </si>
  <si>
    <t>Office_Space_per_Person[DATE(2011,4,1)]|=F108</t>
  </si>
  <si>
    <t>:D:0:Dir_Cost_Types.Dir_Overhead</t>
  </si>
  <si>
    <t>Income subject to income tax. Applicable losses carried forward from previous time periods are already subtracted.</t>
  </si>
  <si>
    <t>Cash Flow Check</t>
  </si>
  <si>
    <t>IncStmt!Net_Income</t>
  </si>
  <si>
    <t>Chg_Short_Debt</t>
  </si>
  <si>
    <t>Initial units of finished goods inventory at the start of model time, segmented by product</t>
  </si>
  <si>
    <t>A list of types of general &amp; administrative expenses tracked separately in the plan</t>
  </si>
  <si>
    <t>Travel Entertainment</t>
  </si>
  <si>
    <t>Assets</t>
  </si>
  <si>
    <t>:A:-1:Tagged_Asset_Purch_Date</t>
  </si>
  <si>
    <t>Dir_OH_Cost_per_U_Prod_In["Products.Product_2", DATE(2011,3,1)]|=E64*1</t>
  </si>
  <si>
    <t>Income_Tax_Rate[DATE(2011,4,1)]|=F144</t>
  </si>
  <si>
    <t>Department names. Used in plots.</t>
  </si>
  <si>
    <t>Assets.Short.AcctsRec</t>
  </si>
  <si>
    <t>Direct_Cost["Dir_Cost_Types.Dir_Labor"]+Indir_Labor_Exp</t>
  </si>
  <si>
    <t>Office_Rent_Rate_Yr[DATE(2011,6,1)]|=H109</t>
  </si>
  <si>
    <t>Dir_Matl_Cost_per_U_Prod</t>
  </si>
  <si>
    <t>Employee_Bonus_pct["Depts.Marketing", "Job_Levels.Job_Level_1", DATE(2011,2,1)]|=D91</t>
  </si>
  <si>
    <t>Oper Exp Ratio</t>
  </si>
  <si>
    <t>Operating cash flow by time period; that is, cash flow adjusted to cancel out capital transactions (dividends, sale of stock, changes in debt). Includes short-term debt transactions, but not long-term debt.</t>
  </si>
  <si>
    <t>Revenue_Prod-Cost_of_Goods_Prod</t>
  </si>
  <si>
    <t>:A:0:Dir_Labor_Cost_U_Prod_In</t>
  </si>
  <si>
    <t>:D:0:Job_Levels.Job_Level_1</t>
  </si>
  <si>
    <t>preve(0)*1</t>
  </si>
  <si>
    <t>:D:0:Job_Levels.Job_Level_2</t>
  </si>
  <si>
    <t>Accts_Receivable</t>
  </si>
  <si>
    <t xml:space="preserve">    ShortDebt</t>
  </si>
  <si>
    <t>Employee_Bonus_pct["Depts.Marketing", "Job_Levels.Job_Level_2", DATE(2011,2,1)]|=D92</t>
  </si>
  <si>
    <t>:A:-1:Facil_Util_Exp</t>
  </si>
  <si>
    <t>0</t>
  </si>
  <si>
    <t>Sales_Commis_Rate[DATE(2011,2,1)]|=D94</t>
  </si>
  <si>
    <t>Programs</t>
  </si>
  <si>
    <t>:A:-1:Accts_Payable_Init</t>
  </si>
  <si>
    <t>Principal amount of long-term loans (excluding bonds), by time period</t>
  </si>
  <si>
    <t>Value of purchases of raw material, segmented by direct material type and time period</t>
  </si>
  <si>
    <t>:D:0:Depts.Sales</t>
  </si>
  <si>
    <t>:A:-1:Sales_Unit_Growth_Prod_display</t>
  </si>
  <si>
    <t>Tagged_Asset_Name</t>
  </si>
  <si>
    <t>Bad_Debt_pct</t>
  </si>
  <si>
    <t>Plot Support'!Depts_plt</t>
  </si>
  <si>
    <t>Dir_Cost_Types</t>
  </si>
  <si>
    <t>Accts_Pay_Targ_Days</t>
  </si>
  <si>
    <t xml:space="preserve">  Vendor_Pay</t>
  </si>
  <si>
    <t>:A:-1:Tagged_Asset_Purch</t>
  </si>
  <si>
    <t>Short Liabilities</t>
  </si>
  <si>
    <t>if(Tagged_Asset_Depr_Period=-1, 0, if(Tagged_Asset_Depr_Period=0, Tagged_Asset_Init_Value, preve(0)-Tagged_Asset_Depr))-Tagged_Asset_Salvage_CF</t>
  </si>
  <si>
    <t>Initial Avg Wage/Yr</t>
  </si>
  <si>
    <t>Bad debt expense expressed as a percent of accounts receivable, for each time period</t>
  </si>
  <si>
    <t>:D:0:Liabilities.Long</t>
  </si>
  <si>
    <t>Inventory</t>
  </si>
  <si>
    <t>:A:0:Office_Utilities_Rate_Yr</t>
  </si>
  <si>
    <t xml:space="preserve">  Chg_Short_Term_Debt</t>
  </si>
  <si>
    <t>Cost of goods and services for sales accrued per time period, segmented by product, by cost type, and by time. Includes cost of goods for products; also includes cost of services for support and contracts, if they are included in the model.
The model distinguishs COGS from direct costs for products, because production units may not equal units sold. This distinction is not needed for support services or contract sales.</t>
  </si>
  <si>
    <t>Net Income</t>
  </si>
  <si>
    <t>Initial Raw Matl Units</t>
  </si>
  <si>
    <t>:D:0:Sales_Locations.Location_2</t>
  </si>
  <si>
    <t>if(var(and(addperiods(current_date(-1), -Tagged_Asset_Life_Phys_Period)&lt;=Tagged_Asset_Purch_Date, Tagged_Asset_Purch_Date&lt;addperiods(current_date(-1), 1-Tagged_Asset_Life_Phys_Period))), Tagged_Asset_Salvage_Value, 0)</t>
  </si>
  <si>
    <t>Employee_Bonus_pct["Depts.Marketing", "Job_Levels.Job_Level_2", DATE(2011,5,1)]|=G92</t>
  </si>
  <si>
    <t>Cash_Uses.New_Cap_d_Development</t>
  </si>
  <si>
    <t>:A:-1:Revenue</t>
  </si>
  <si>
    <t>(Tables)'!Revenue_Orders_Sales_Locations</t>
  </si>
  <si>
    <t>:D:2:Depts.Sales</t>
  </si>
  <si>
    <t>Office_Space_per_Person</t>
  </si>
  <si>
    <t>Accts_Pay_Targ_Days["Accts_Pay_Type.Tax_Pay", DATE(2011,1,1)]|=30</t>
  </si>
  <si>
    <t>Employee_Count1_K_off["Depts.Sales", "Job_Levels.Job_Level_2", DATE(2011,6,1)]|=if('(Tables)'!H148&lt;0.001+1/12, 0, if('(Tables)'!F172=0, 1, '(Tables)'!G172/'(Tables)'!F172)*H74)</t>
  </si>
  <si>
    <t>:A:-1:Revenue_per_Employee</t>
  </si>
  <si>
    <t>The book value of each tagged asset, by time period</t>
  </si>
  <si>
    <t>:D:2:Asset_Tags</t>
  </si>
  <si>
    <t>Wage_Tax_pct[DATE(2011,5,1)]|=G98</t>
  </si>
  <si>
    <t>Untagged_Asset_Purch_Lagged</t>
  </si>
  <si>
    <t>:A:-1:Gen_Admin_Exp</t>
  </si>
  <si>
    <t>:D:2:Cash_Uses.Chg_Accts_Receivable</t>
  </si>
  <si>
    <t xml:space="preserve">  Supplies</t>
  </si>
  <si>
    <t>Gen Admin</t>
  </si>
  <si>
    <t>Inventory_FG_Targ_Days["Products.Product_2", DATE(2011,6,1)]|=H172</t>
  </si>
  <si>
    <t>(1-Price_Discount_pct_Prod)*Price_List_Prod</t>
  </si>
  <si>
    <t>Sales_Unit_Gr_Prod_Yr_Sc1x["Products.Product_1", "Sales_Locations.Location_1", DATE(2011,2,1)]|=2*D23-D23</t>
  </si>
  <si>
    <t>Other Facil Exp/Yr</t>
  </si>
  <si>
    <t>Gen_Admin_Exp_K_off["Depts.Marketing", "GA_Exp.IT_Expense", DATE(2011,1,1)]|=0</t>
  </si>
  <si>
    <t>Indirect Labor'!Employee_Count_Depts_Marketing_Job_Levels_Job_Level_1</t>
  </si>
  <si>
    <t>:A:0:Gen_Admin_Exp_K_off</t>
  </si>
  <si>
    <t>Indirect Labor'!Employee_Count_Depts_Marketing_Job_Levels_Job_Level_2</t>
  </si>
  <si>
    <t>:A:-1:Return_on_Equity</t>
  </si>
  <si>
    <t>Gross margin amount for products, segmented by product, for each time period</t>
  </si>
  <si>
    <t>:A:0:Dir_Matl_U_Used_Prod</t>
  </si>
  <si>
    <t>Wage_Benefits_pct</t>
  </si>
  <si>
    <t>Taxable Income</t>
  </si>
  <si>
    <t>Employee Rel Exp</t>
  </si>
  <si>
    <t>Interest_Rate_Long_Yr[DATE(2011,6,1)]|=H138</t>
  </si>
  <si>
    <t>:A:-1:Purch_Raw_Matl_U_Needs</t>
  </si>
  <si>
    <t>:D:2:Job_Levels.Job_Level_1</t>
  </si>
  <si>
    <t>if(Liabilities["Liabilities.Short"]=0, 0, Assets["Assets.Short"]/Liabilities["Liabilities.Short"])</t>
  </si>
  <si>
    <t xml:space="preserve">  Marketing</t>
  </si>
  <si>
    <t>Cash_Uses.Chg_Inventory</t>
  </si>
  <si>
    <t>:A:0:Direct_Cost_per_U_Prod</t>
  </si>
  <si>
    <t>Income_Tax</t>
  </si>
  <si>
    <t>Employee_Count1_K_off["Depts.Marketing", "Job_Levels.Job_Level_2", DATE(2011,4,1)]|=if('(Tables)'!F148&lt;0.001+1/12, 0, if('(Tables)'!D172=0, 1, '(Tables)'!E172/'(Tables)'!D172)*F76)</t>
  </si>
  <si>
    <t>Accts_Pay_Targ_Days["Accts_Pay_Type.Tax_Pay", DATE(2011,3,1)]|=F207</t>
  </si>
  <si>
    <t>if(Revenue=0, 0, 1000*Employee_Count/Revenue)</t>
  </si>
  <si>
    <t>Dir Material</t>
  </si>
  <si>
    <t>Sales_Units_Prod_Sc1x["Products.Product_2", "Sales_Locations.Location_2", DATE(2011,2,1)]|=(1+'(Tables)'!C25)*D21</t>
  </si>
  <si>
    <t>Dir_Matl_U_Used_Prod*(1+Inventory_Raw_Targ_Days*periods_per("day"))</t>
  </si>
  <si>
    <t>:D:1:Products</t>
  </si>
  <si>
    <t>Cash_Targ_Days[DATE(2011,1,1)]|=30</t>
  </si>
  <si>
    <t>Interest_Rate_Short_Yr[DATE(2011,5,1)]|=G137</t>
  </si>
  <si>
    <t>:A:0:Accts_Rec_Days_Prod</t>
  </si>
  <si>
    <t>Assets-Liabilities-Equity</t>
  </si>
  <si>
    <t>Paid_In_Capital</t>
  </si>
  <si>
    <t>Wage_Average</t>
  </si>
  <si>
    <t>:A:-1:Dir_Matl_U_Used_Prod</t>
  </si>
  <si>
    <t>List price of products, by time period. You should enter price data for the first time period, and for any time period and product for which the list price changes.</t>
  </si>
  <si>
    <t>:A:-1:Purch_Raw_Matl_U</t>
  </si>
  <si>
    <t>OpExp!Operating_Exp_Depts_Marketing_OpExpType_Programs</t>
  </si>
  <si>
    <t>The amount of short-term debt outstanding at the end of each time period.
This variable contains a formula that expresses a policy: the company takes enough short-term loans to keep cash balances equal to a target number of days of revenue.</t>
  </si>
  <si>
    <t>Accts_Pay_Targ_Days["Accts_Pay_Type.Tax_Pay", DATE(2011,2,1)]|=E207</t>
  </si>
  <si>
    <t>Gen_Admin_Exp+0-if(diminfo("Depts", 0)="Engineering", var(0), 0)</t>
  </si>
  <si>
    <t>:A:0:Price_List_Prod</t>
  </si>
  <si>
    <t>Inventory_FG_Units_Init["Products.Product_1"]|=0/2</t>
  </si>
  <si>
    <t>Products_plt</t>
  </si>
  <si>
    <t>Short Term Debt</t>
  </si>
  <si>
    <t>Facil_Other_Exp_Yr[DATE(2011,2,1)]|=D112</t>
  </si>
  <si>
    <t>Inventory_FG_Targ_Days</t>
  </si>
  <si>
    <t>Direct costs incurred in building or acquiring product units, by product, by cost type, and by time period</t>
  </si>
  <si>
    <t>:A:0:Long_Asset_Purch</t>
  </si>
  <si>
    <t>The ratio (operating expense for the Admin department) / revenue, by time period</t>
  </si>
  <si>
    <t>:A:-1:Dir_Labor_Cost_U_Prod_In</t>
  </si>
  <si>
    <t>if(Sales_Units_Prod=0, 0, Revenue/Sales_Units_Prod)</t>
  </si>
  <si>
    <t>The amount of cash on hand a the start of each time period</t>
  </si>
  <si>
    <t xml:space="preserve">  Programs</t>
  </si>
  <si>
    <t xml:space="preserve">  Chg_Accts_Receivable</t>
  </si>
  <si>
    <t>AR Days - Products</t>
  </si>
  <si>
    <t>Sales_Units_Prod+Sales_Units_Prod*Inventory_FG_Targ_Days*periods_per("day")-prev(Inventory_FG_Units)</t>
  </si>
  <si>
    <t>Annual interest rate on short-term debt, quoted for each time period. The model expresses all input interest rates in annual terms.</t>
  </si>
  <si>
    <t>The factor applied to cash flow in each time period to compute its contribution to present value</t>
  </si>
  <si>
    <t xml:space="preserve">  Payroll_Pay</t>
  </si>
  <si>
    <t>Display As</t>
  </si>
  <si>
    <t>Cash_Sources.Net_Stock_Issue</t>
  </si>
  <si>
    <t>Global</t>
  </si>
  <si>
    <t>if(Revenue=0, 0, Net_Income/Revenue)</t>
  </si>
  <si>
    <t>:D:1:GA_Exp</t>
  </si>
  <si>
    <t>Interest_Rate_Earned_Cash_Yr[DATE(2011,6,1)]|=H139</t>
  </si>
  <si>
    <t>Amount of purchases, split out by goods and services, payroll, and income taxes, per period. Used to compute accounts payable.</t>
  </si>
  <si>
    <t>:D:2:Accts_Pay_Type</t>
  </si>
  <si>
    <t>Liabilities.Short.Deferred_Revenue</t>
  </si>
  <si>
    <t>Wage_incr_period_pct</t>
  </si>
  <si>
    <t>:A:-1:Chg_Accts_Rec</t>
  </si>
  <si>
    <t>(Office_Rent_Rate_Yr+Office_Utilities_Rate_Yr+Office_Maint_Rate_Yr)*Office_Space_per_Person*Employee_Count/periods_per("year")+Facil_Other_Exp_Yr/periods_per("year")</t>
  </si>
  <si>
    <t>Wage_Benefits_pct[DATE(2011,6,1)]|=H97</t>
  </si>
  <si>
    <t>Accts_Rec_Days_Prod[DATE(2011,2,1)]|=D180</t>
  </si>
  <si>
    <t>OpExp!Operating_Exp_Depts_Marketing_OpExpType_Dept_Exp_Accts</t>
  </si>
  <si>
    <t>Vendor Payables</t>
  </si>
  <si>
    <t>:D:0:Liabilities.Long.Long_Term_Loans</t>
  </si>
  <si>
    <t>Variable</t>
  </si>
  <si>
    <t>Wage_Benefits_pct[DATE(2011,2,1)]|=D97</t>
  </si>
  <si>
    <t>Inventory_Raw_Matl_U_Init*Dir_Matl_Cost_per_U_Prod</t>
  </si>
  <si>
    <t>:D:0:Asset_Tags</t>
  </si>
  <si>
    <t>Paid in Capital</t>
  </si>
  <si>
    <t>Inputs!Employee_Count1_K_off_Depts_Marketing_Job_Levels_Job_Level_1</t>
  </si>
  <si>
    <t>Inputs!Employee_Count1_K_off_Depts_Marketing_Job_Levels_Job_Level_2</t>
  </si>
  <si>
    <t>(Compute)'!Employee_Count1_K_off_Time_Period</t>
  </si>
  <si>
    <t>:A:-1:Financial_Exp</t>
  </si>
  <si>
    <t>IncStmt!Operating_Margin</t>
  </si>
  <si>
    <t>Job Levels</t>
  </si>
  <si>
    <t>Dir_Matl_U_per_Prodn_U["Products.Product_2", DATE(2011,6,1)]|=I52*1</t>
  </si>
  <si>
    <t>Other</t>
  </si>
  <si>
    <t>:A:-1:Discount_Factor</t>
  </si>
  <si>
    <t>Gen_Admin_Exp_K_off["Depts.Sales", "GA_Exp.IT_Expense", DATE(2011,6,1)]|=H117*if(IncStmt!F6=0, 1, IncStmt!G6/IncStmt!F6)</t>
  </si>
  <si>
    <t>Model Start</t>
  </si>
  <si>
    <t>Income Tax Rate</t>
  </si>
  <si>
    <t>Sales_Commis_Rev_Share</t>
  </si>
  <si>
    <t>Time</t>
  </si>
  <si>
    <t>:A:-1:Inventory_FG_Init</t>
  </si>
  <si>
    <t>Physical, useful life of each tagged asset expressed in years</t>
  </si>
  <si>
    <t>Dir_OH_Cost_per_U_Prod_In["Products.Product_2", DATE(2011,4,1)]|=F64*1</t>
  </si>
  <si>
    <t>Tagged_Asset_Purch_Date["Asset_Tags.Asset_1"]|='(FnCalls 1)'!A47</t>
  </si>
  <si>
    <t>IT Expense</t>
  </si>
  <si>
    <t>:A:-1:Facil_Other_Exp_Yr</t>
  </si>
  <si>
    <t>:D:0:Products.Product_2</t>
  </si>
  <si>
    <t>Indir_Labor_Exp-if(diminfo("Depts", 0)="Engineering", var(0), 0)</t>
  </si>
  <si>
    <t>(Compute)'!Gross_Margin_Date</t>
  </si>
  <si>
    <t>Cost of direct labor for production of products that is not applied to production</t>
  </si>
  <si>
    <t>(Compute)'!Net_Income_Time_Period</t>
  </si>
  <si>
    <t>ABC Corp.</t>
  </si>
  <si>
    <t xml:space="preserve">  Net_Income</t>
  </si>
  <si>
    <t>:A:0:Wage_Average</t>
  </si>
  <si>
    <t>Sales_Units_Prod</t>
  </si>
  <si>
    <t>:A:-1:Time</t>
  </si>
  <si>
    <t>:A:0:Accts_Pay_Days</t>
  </si>
  <si>
    <t>preve(30)</t>
  </si>
  <si>
    <t>:D:0:Accts_Pay_Type.Tax_Pay</t>
  </si>
  <si>
    <t>Cash_Initial</t>
  </si>
  <si>
    <t>:A:0:Employee_Bonus_pct</t>
  </si>
  <si>
    <t>Sales_Units_Prod_Sc1x["Products.Product_2", "Sales_Locations.Location_1", DATE(2011,3,1)]|=(1+'(Tables)'!D24)*E20</t>
  </si>
  <si>
    <t>:A:0:Asset_Turnover</t>
  </si>
  <si>
    <t>:D:1:Cash_Uses</t>
  </si>
  <si>
    <t>:A:-1:Wage_Tax_pct</t>
  </si>
  <si>
    <t>Per_Employee_Exp_Yr["Depts.Marketing", "Empl_Rel_Exp_Type.Supplies", DATE(2011,5,1)]|=G126</t>
  </si>
  <si>
    <t>Job Level 1</t>
  </si>
  <si>
    <t>Job Level 2</t>
  </si>
  <si>
    <t>:D:1:Sales_Locations</t>
  </si>
  <si>
    <t>(Ranges)'!Liabilities_Liabilities_Short_AcctsPay</t>
  </si>
  <si>
    <t>The cash dividend payment in each accounting period.
The formula in this variable expresses a dividend policy, based on the relationship between cash balances and revenue, and previous dividends.</t>
  </si>
  <si>
    <t>Accts_Rec_Days_Prod</t>
  </si>
  <si>
    <t>:A:-1:Inventory_Raw_Targ_Days</t>
  </si>
  <si>
    <t>ifm(Time&lt;=0.001, Accts_Payable_Init, Accts_Pay_Targ_Days*periods_per("day")*Purchases_Short_Term)</t>
  </si>
  <si>
    <t>Sales_Unit_Gr_Prod_Yr_Sc1x["Products.Product_2", "Sales_Locations.Location_1", DATE(2011,6,1)]|=2*H25-G25</t>
  </si>
  <si>
    <t>Accts_Rec_Days_Prod[DATE(2011,5,1)]|=G180</t>
  </si>
  <si>
    <t>:A:-1:Gross_Margin</t>
  </si>
  <si>
    <t>Per_Employee_Exp_Yr["Depts.Marketing", "Empl_Rel_Exp_Type.Travel_Entertain", DATE(2011,5,1)]|=G127</t>
  </si>
  <si>
    <t>Sales_Units_Prod_Sc1x["Products.Product_1", "Sales_Locations.Location_1", DATE(2011,3,1)]|=(1+'(Tables)'!D20)*E18</t>
  </si>
  <si>
    <t>:A:-1:Revenue_Prod_Growth</t>
  </si>
  <si>
    <t>:D:-1:Job_Levels</t>
  </si>
  <si>
    <t>Sales revenue, segmented by product, by time period. Computed as average selling price * sales units. This is revenue net of sales returns.</t>
  </si>
  <si>
    <t>Cash_Sources.Chg_Accts_Payable</t>
  </si>
  <si>
    <t>The discount rate per time period for computing present values</t>
  </si>
  <si>
    <t>Income_Tax_Rate[DATE(2011,2,1)]|=D144</t>
  </si>
  <si>
    <t>Cash_Targ_Days[DATE(2011,4,1)]|=F157</t>
  </si>
  <si>
    <t>Dir_Matl_U_per_Prodn_U["Products.Product_2", DATE(2011,5,1)]|=H52*1</t>
  </si>
  <si>
    <t>Long_Loans[DATE(2011,1,1)]|=D218</t>
  </si>
  <si>
    <t>:A:0:Employee_Count1_K_off</t>
  </si>
  <si>
    <t>:A:-1:Sales_Unit_Growth_Prod_In</t>
  </si>
  <si>
    <t>Dir Matl U / Prodn U</t>
  </si>
  <si>
    <t>Wage_Incr_pct[DATE(2011,2,1)]|=D85</t>
  </si>
  <si>
    <t>A hierarchical list of products offered by the company. Each product has a SKU for software license, support service, and SaaS service.</t>
  </si>
  <si>
    <t>(Compute)'!Revenue_Orders_Date</t>
  </si>
  <si>
    <t>Price_Discount_pct_Prod["Products.Product_2", "Sales_Locations.Location_1", DATE(2011,2,1)]|=D38</t>
  </si>
  <si>
    <t>Inventory_Raw_Matl</t>
  </si>
  <si>
    <t>Mktg Expense</t>
  </si>
  <si>
    <t>(Ranges)'!Equity_Equity_RetainedEarnings</t>
  </si>
  <si>
    <t>:A:0:Sales_Commis_Rate</t>
  </si>
  <si>
    <t>Mktg_Expense</t>
  </si>
  <si>
    <t>Chg_Accts_Pay</t>
  </si>
  <si>
    <t>Cogs GM'!Gross_Margin_Sales_Locations_Location_1</t>
  </si>
  <si>
    <t>Sales_Unit_Gr_Prod_Yr_Sc1x["Products.Product_2", "Sales_Locations.Location_1", DATE(2011,2,1)]|=2*D25-D25</t>
  </si>
  <si>
    <t>:A:-1:Cash_Flow_Expect_Fut</t>
  </si>
  <si>
    <t>Sales_Commis_Rate[DATE(2011,1,1)]|=0</t>
  </si>
  <si>
    <t>Per_Employee_Exp_Yr["Depts.Sales", "Empl_Rel_Exp_Type.Travel_Entertain", DATE(2011,4,1)]|=F124</t>
  </si>
  <si>
    <t>Office_Maint_Rate_Yr[DATE(2011,3,1)]|=E111</t>
  </si>
  <si>
    <t>:WS:</t>
  </si>
  <si>
    <t>Gross Margin % - Products</t>
  </si>
  <si>
    <t>:D:0:Cash_Uses</t>
  </si>
  <si>
    <t>:A:-1:Price_Discount_pct_Prod</t>
  </si>
  <si>
    <t>:D:-1:Sales_Locations</t>
  </si>
  <si>
    <t>:D:2:Assets.Short.Cash</t>
  </si>
  <si>
    <t>0*max(0, 0*0/periods_per("year")-0)</t>
  </si>
  <si>
    <t>:D:2:Accts_Pay_Type.Vendor_Pay</t>
  </si>
  <si>
    <t>General &amp; Admin</t>
  </si>
  <si>
    <t>Financial expense = bad debt expense + interest expense</t>
  </si>
  <si>
    <t>:A:0:Wage_Incr_pct</t>
  </si>
  <si>
    <t>Accounts Payable</t>
  </si>
  <si>
    <t>Inventory_Raw_Targ_Days["Dir_Matl_Types", DATE(2011,2,1)]|=D169</t>
  </si>
  <si>
    <t>Gen_Admin_Exp_K_off</t>
  </si>
  <si>
    <t>Office_Maint_Rate_Yr[DATE(2011,2,1)]|=D111</t>
  </si>
  <si>
    <t>Sales_Units_Prod_Sc1x["Products.Product_2", "Sales_Locations.Location_1", DATE(2011,4,1)]|=(1+'(Tables)'!E24)*F20</t>
  </si>
  <si>
    <t>Cash_Sources.Depreciation_and_Salvage</t>
  </si>
  <si>
    <t>Sales_Unit_Gr_Prod_Yr_Sc1x["Products.Product_2", "Sales_Locations.Location_2", DATE(2011,1,1)]|=2*0-0</t>
  </si>
  <si>
    <t>Cash_Flow_Expect_Fut</t>
  </si>
  <si>
    <t>:A:0:Tagged_Asset_Salvage_Value</t>
  </si>
  <si>
    <t>Inventory_FG+Inventory_Raw_Matl</t>
  </si>
  <si>
    <t>Location 2</t>
  </si>
  <si>
    <t>Accts_Pay_Targ_Days["Accts_Pay_Type.Tax_Pay", DATE(2011,4,1)]|=G207</t>
  </si>
  <si>
    <t>Price_Discount_pct_Prod["Products.Product_2", "Sales_Locations.Location_1", DATE(2011,3,1)]|=E38</t>
  </si>
  <si>
    <t>sum(ranged("Dir_Cost_Types", Direct_Cost_per_U_Prod))*Prodn_Units</t>
  </si>
  <si>
    <t>Return_on_Equity</t>
  </si>
  <si>
    <t>Operating_Exp["Depts", "OpExpType"]/Revenue</t>
  </si>
  <si>
    <t>(Ranges)'!Assets_Assets_Short</t>
  </si>
  <si>
    <t>Per_Employee_Exp_Yr["Depts.Marketing", "Empl_Rel_Exp_Type.Supplies", DATE(2011,4,1)]|=F126</t>
  </si>
  <si>
    <t>Dir_Matl_Cost_per_DM_U_Prod["Dir_Matl_Types", DATE(2011,5,1)]|=H54</t>
  </si>
  <si>
    <t>Per_Employee_Exp_Yr["Depts.Marketing", "Empl_Rel_Exp_Type.Supplies", DATE(2011,1,1)]|=0</t>
  </si>
  <si>
    <t>:D:2:Empl_Rel_Exp_Type.Supplies</t>
  </si>
  <si>
    <t>if(var(Tagged_Asset_Purch_Date&lt;=addperiods(current_date(-1), -Tagged_Asset_Life_Depr_Period)), -2, if(var(current_date(-1)&lt;=Tagged_Asset_Purch_Date), if(var(Tagged_Asset_Purch_Date&lt;=current_date(1)), 0, -1), preve(-1)+1))</t>
  </si>
  <si>
    <t>:D:2:Empl_Rel_Exp_Type</t>
  </si>
  <si>
    <t>Equity cash flow at the end of each accounting period adjusted to cancel out non-equity transactions (such as changes in short and long term debt and bonds)</t>
  </si>
  <si>
    <t>Wage Tax %</t>
  </si>
  <si>
    <t>Per_Employee_Exp_Yr["Depts.Sales", "Empl_Rel_Exp_Type.Travel_Entertain", DATE(2011,5,1)]|=G124</t>
  </si>
  <si>
    <t>Direct labor cost per support unit over one year, segmented by product, by cost type, and by time period.</t>
  </si>
  <si>
    <t>Price_Discount_pct_Prod["Products.Product_2", "Sales_Locations.Location_2", DATE(2011,3,1)]|=E39</t>
  </si>
  <si>
    <t>Accts_Pay_Targ_Days["Accts_Pay_Type.Payroll_Pay", DATE(2011,1,1)]|=30</t>
  </si>
  <si>
    <t>:A:-1:Dividend</t>
  </si>
  <si>
    <t>Accts_Pay_Targ_Days["Accts_Pay_Type.Payroll_Pay", DATE(2011,3,1)]|=F206</t>
  </si>
  <si>
    <t xml:space="preserve">Value of long term assets, including tagged and untagged long-term assets, by time period, </t>
  </si>
  <si>
    <t>(Ranges)'!Liabilities_Liabilities_Short_ShortDebt</t>
  </si>
  <si>
    <t>Marketing</t>
  </si>
  <si>
    <t>Untagged_Asset_Type</t>
  </si>
  <si>
    <t>:A:0:Accts_Payable_Init</t>
  </si>
  <si>
    <t>(Compute)'!Operating_Exp_Date</t>
  </si>
  <si>
    <t>:D:-1:Accts_Pay_Type</t>
  </si>
  <si>
    <t>Dir_Labor_Unapplied_Prod</t>
  </si>
  <si>
    <t>Plot Support'!Products_plt</t>
  </si>
  <si>
    <t>:A:0:Cost_of_Goods_n_Svcs</t>
  </si>
  <si>
    <t>Office_Utilities_Rate_Yr[DATE(2011,5,1)]|=G110</t>
  </si>
  <si>
    <t>:D:1:Liabilities.Short</t>
  </si>
  <si>
    <t>:A:0:Dir_Labor_Util_pct_Prod</t>
  </si>
  <si>
    <t>Formula / Data</t>
  </si>
  <si>
    <t>Discount %/Yr, Direct</t>
  </si>
  <si>
    <t>Cash_Uses.Long_Term_Asset_Purchases</t>
  </si>
  <si>
    <t>:A:-1:Cash</t>
  </si>
  <si>
    <t>ifm(Time&lt;=0.001, Accts_Rec_Prod_Init+0+0, (Accts_Rec_Days_Prod*Revenue_Prod+0*0+0*0)*periods_per("day"))</t>
  </si>
  <si>
    <t>Employee_Bonus_pct["Depts.Sales", "Job_Levels.Job_Level_2", DATE(2011,4,1)]|=F90</t>
  </si>
  <si>
    <t>Employee benefits expense, as a percentage of wages, excluding bonuses and commissions</t>
  </si>
  <si>
    <t>:A:0:Products_plt</t>
  </si>
  <si>
    <t>Dimension (item)</t>
  </si>
  <si>
    <t>Accts Pay Targ Days</t>
  </si>
  <si>
    <t>Cumulative average growth rate of revenue over model time, excluding year 1, using a least squares fit to historical revenue, segmented by product. This method gives a more stable estimate of CAGR than using just the first and last period revenues.</t>
  </si>
  <si>
    <t>:D:-1:Products</t>
  </si>
  <si>
    <t>:A:-1:Cash_Flow_Equity</t>
  </si>
  <si>
    <t>Liabilities</t>
  </si>
  <si>
    <t>:A:0:Cash_Flow_Oper</t>
  </si>
  <si>
    <t>:A:-1:Accts_Receivable</t>
  </si>
  <si>
    <t>:A:-1:Sales_Unit_Gr_Prod_Yr_Sc1x</t>
  </si>
  <si>
    <t>Comment</t>
  </si>
  <si>
    <t>:A:-1:Sales_Commission</t>
  </si>
  <si>
    <t xml:space="preserve">  Chg_Bond_Principal</t>
  </si>
  <si>
    <t>:A:0:Operating_Exp</t>
  </si>
  <si>
    <t>Gross margin percent (gross margin / revenue), segmented by product and by time period</t>
  </si>
  <si>
    <t>Sales_Unit_Gr_Prod_Yr_Sc1x["Products.Product_2", "Sales_Locations.Location_2", DATE(2011,2,1)]|=2*D26-D26</t>
  </si>
  <si>
    <t>Price_Discount_pct_Prod["Products.Product_2", "Sales_Locations.Location_2", DATE(2011,4,1)]|=F39</t>
  </si>
  <si>
    <t>(Wage_Expense+Employee_Bonus)*(1+Wage_Tax_pct)+Wage_Expense*Wage_Benefits_pct+if(diminfo("Depts", 0)="Sales", if(Wage_Expense&gt;0, var(Sales_Commission)*Employee_Count*Wage_Average/Wage_Expense["Depts.Sales", "Job_Levels"]*(1+Wage_Tax_pct), 0), 0)</t>
  </si>
  <si>
    <t>Interest_Rate_Long_Yr</t>
  </si>
  <si>
    <t>Tagged_Asset_Purch</t>
  </si>
  <si>
    <t>Direct material costs per product unit produced or acquired, segmented by product, material type, and time period. 
If you use optional production learning effects, enter data only in the first time period. Entering data in other cells overwrites the learning curve model.</t>
  </si>
  <si>
    <t>Revenue Growth</t>
  </si>
  <si>
    <t>Wage Benefits %</t>
  </si>
  <si>
    <t>The ratio (revenue for each time period) / (employee count at end of each time period)</t>
  </si>
  <si>
    <t>Tagged_Asset_Init_Value</t>
  </si>
  <si>
    <t>diminfo("Depts", 7, ", ")</t>
  </si>
  <si>
    <t>:D:2:OpExpType</t>
  </si>
  <si>
    <t>:D:1:Asset_Tags</t>
  </si>
  <si>
    <t>Location 1</t>
  </si>
  <si>
    <t>Chg Accts Rec</t>
  </si>
  <si>
    <t>Physical Life (period)</t>
  </si>
  <si>
    <t>Selling Exp Ratio</t>
  </si>
  <si>
    <t>Accts_Pay_Targ_Days["Accts_Pay_Type.Payroll_Pay", DATE(2011,6,1)]|=I206</t>
  </si>
  <si>
    <t>Cash_Flow+Dividend-Net_Stock_Issue</t>
  </si>
  <si>
    <t>Current Ratio</t>
  </si>
  <si>
    <t>Asset Name</t>
  </si>
  <si>
    <t>Interest_Rate_Short_Yr[DATE(2011,3,1)]|=E137</t>
  </si>
  <si>
    <t>if(Revenue=0, 0, Accts_Payable/periods_per("day")/Revenue)</t>
  </si>
  <si>
    <t>:A:0:Mktg_Expense</t>
  </si>
  <si>
    <t>Long_Loans[DATE(2011,4,1)]|=G218</t>
  </si>
  <si>
    <t>Employee headcount input, segmented by department and job level, by time period. If no value is specified, the previous value grows with revenue (for Marketing and Sales headcount: non-deferred revenue, excluding accruals of deferred revenue). Each headcount number is later rounded to half-integers.</t>
  </si>
  <si>
    <t>Income tax expense for each time period</t>
  </si>
  <si>
    <t>Revenue (non-deferred)</t>
  </si>
  <si>
    <t>:A:-1:Chg_Bond_Principal_short</t>
  </si>
  <si>
    <t>OpExpType</t>
  </si>
  <si>
    <t>:A:0:Interest_Rate_Long_Yr</t>
  </si>
  <si>
    <t>(Compute)'!Net_Income_Date</t>
  </si>
  <si>
    <t>Wage_Tax_pct[DATE(2011,2,1)]|=D98</t>
  </si>
  <si>
    <t>:A:0:Paid_In_Capital</t>
  </si>
  <si>
    <t>round(periods_per("year")*Tagged_Asset_Life_Phys_Yr, 0)</t>
  </si>
  <si>
    <t>Tagged_Asset_Depr_Method</t>
  </si>
  <si>
    <t>:A:0:Company_Name</t>
  </si>
  <si>
    <t>:A:-1:Oper_Exp_Ratio</t>
  </si>
  <si>
    <t>round(Time*periods_per("year"), 0)</t>
  </si>
  <si>
    <t>Net Interest Expense</t>
  </si>
  <si>
    <t>:A:0:Revenue_per_Employee</t>
  </si>
  <si>
    <t>:A:-1:Wage_Incr_pct</t>
  </si>
  <si>
    <t>:SD:0:1/1/2011</t>
  </si>
  <si>
    <t>Gross margin amount, segmented by sales location, for each time period</t>
  </si>
  <si>
    <t>Dir_Matl_U_Used_Prod</t>
  </si>
  <si>
    <t>Depts</t>
  </si>
  <si>
    <t>The ratio net income / revenue, by time period</t>
  </si>
  <si>
    <t>Short_Debt-prev(Short_Debt)</t>
  </si>
  <si>
    <t>Employee_Bonus_pct["Depts.Sales", "Job_Levels.Job_Level_1", DATE(2011,3,1)]|=E89</t>
  </si>
  <si>
    <t>:A:0:Chg_Bond_Principal</t>
  </si>
  <si>
    <t>G_A_Exp_Ratio</t>
  </si>
  <si>
    <t>Operating_Margin-Depreciation-Financial_Exp-Income_Tax</t>
  </si>
  <si>
    <t>Gross_Margin_Prod</t>
  </si>
  <si>
    <t>:D:0:Sales_Locations.Location_1</t>
  </si>
  <si>
    <t>The purchase amount of each tagged asset, assigned to the time period that includes the purchase date. This variable is needed to express the purchase value in a time-dependent table needed for depreciation computations.</t>
  </si>
  <si>
    <t>:A:-1:Taxable_Income</t>
  </si>
  <si>
    <t>:A:0:Cash_Initial</t>
  </si>
  <si>
    <t>Long_Loans</t>
  </si>
  <si>
    <t>Wage_Incr_AnnualQ</t>
  </si>
  <si>
    <t>preve(0)</t>
  </si>
  <si>
    <t>preve(1)</t>
  </si>
  <si>
    <t>rollup(true, if(Prodn_Units=0, 0, Direct_Cost_Prod/Prodn_Units), "Dir_Cost_Types", rollup(sum), "Products", if(Prodn_Units=0, 0, Direct_Cost_Prod/Prodn_Units))</t>
  </si>
  <si>
    <t>Gross_Margin_Prod_pct</t>
  </si>
  <si>
    <t>:D:2:Assets</t>
  </si>
  <si>
    <t>Accts_Rec_Days_Prod[DATE(2011,1,1)]|=60</t>
  </si>
  <si>
    <t>:A:0:Dir_OH_Cost_per_U_Prod_In</t>
  </si>
  <si>
    <t>:A:-1:Inventory_Raw_Matl_Init</t>
  </si>
  <si>
    <t>:D:0:OpExpType.Facil_Util_Exp</t>
  </si>
  <si>
    <t>Employee_Count1_K_off["Depts.Sales", "Job_Levels.Job_Level_1", DATE(2011,4,1)]|=if('(Tables)'!F148&lt;0.001+1/12, 0, if('(Tables)'!D172=0, 1, '(Tables)'!E172/'(Tables)'!D172)*F73)</t>
  </si>
  <si>
    <t>Interest_Rate_Short_Yr[DATE(2011,2,1)]|=D137</t>
  </si>
  <si>
    <t>Products</t>
  </si>
  <si>
    <t>Employee_Count1_K_off["Depts.Marketing", "Job_Levels.Job_Level_1", DATE(2011,2,1)]|=if('(Tables)'!D148&lt;0.001+1/12, 0, if('(Tables)'!B172=0, 1, '(Tables)'!C172/'(Tables)'!B172)*D75)</t>
  </si>
  <si>
    <t>:A:-1:Chg_Inventory</t>
  </si>
  <si>
    <t>Employee_Bonus_pct["Depts.Sales", "Job_Levels.Job_Level_2", DATE(2011,5,1)]|=G90</t>
  </si>
  <si>
    <t>:D:0:Job_Levels</t>
  </si>
  <si>
    <t>:A:0:Cash</t>
  </si>
  <si>
    <t>The accounting debt ratio, equal to the total long and short term debt divided by the total assets</t>
  </si>
  <si>
    <t>Gen_Admin_Exp_K_off["Depts.Sales", "GA_Exp.IT_Expense", DATE(2011,3,1)]|=E117*if(IncStmt!C6=0, 1, IncStmt!D6/IncStmt!C6)</t>
  </si>
  <si>
    <t>:A:-1:Sales_Units_RoundQ</t>
  </si>
  <si>
    <t>Date on which each tagged asset was purchased</t>
  </si>
  <si>
    <t>Inventory_FG_Targ_Days["Products.Product_1", DATE(2011,1,1)]|=30</t>
  </si>
  <si>
    <t>Initial value of finished goods inventory at the start of model time, segmented by product</t>
  </si>
  <si>
    <t>Chg Bond Principal</t>
  </si>
  <si>
    <t>:A:-1:Tagged_Asset_Salvage_CF</t>
  </si>
  <si>
    <t>Sales_Units_Prod_Sc1x["Products.Product_1", "Sales_Locations.Location_1", DATE(2011,4,1)]|=(1+'(Tables)'!E20)*F18</t>
  </si>
  <si>
    <t>The ratio operating expense / revenue, by time period</t>
  </si>
  <si>
    <t>prev(Cash)</t>
  </si>
  <si>
    <t>Finished Inventory (U)</t>
  </si>
  <si>
    <t>:A:-1:Cash_No_Short_Debt</t>
  </si>
  <si>
    <t>Dir Labor</t>
  </si>
  <si>
    <t>if(Tagged_Asset_Depr_Period&lt;=0, 0, if(Tagged_Asset_Depr_Method="None", 0, if(Tagged_Asset_Depr_Method="SYD", syd(Tagged_Asset_Init_Value, Tagged_Asset_Salvage_Value, Tagged_Asset_Life_Depr_Yr*periods_per("year"), Tagged_Asset_Depr_Period), min(preve(0, Tagged_Assets)-Tagged_Asset_Salvage_Value, max(sln(Tagged_Asset_Init_Value, Tagged_Asset_Salvage_Value, Tagged_Asset_Life_Depr_Yr*periods_per("year")))), if(Tagged_Asset_Depr_Method="DDB", ddb(Tagged_Asset_Init_Value, Tagged_Asset_Salvage_Value, Tagged_Asset_Life_Depr_Yr*periods_per("year"), Tagged_Asset_Depr_Period), sln(Tagged_Asset_Init_Value, Tagged_Asset_Salvage_Value, Tagged_Asset_Life_Depr_Yr*periods_per("year"))))))</t>
  </si>
  <si>
    <t>:A:-1:Income_Tax_Rate</t>
  </si>
  <si>
    <t>:A:-1:Revenue_Growth_display</t>
  </si>
  <si>
    <t>Chg_Bond_Principal_short</t>
  </si>
  <si>
    <t>:A:-1:Per_Employee_Exp_Yr</t>
  </si>
  <si>
    <t>The ratio (short-term assets less inventory) / short-term liabilities, by time period</t>
  </si>
  <si>
    <t>Per_Employee_Exp_Yr["Depts.Marketing", "Empl_Rel_Exp_Type.Travel_Entertain", DATE(2011,4,1)]|=F127</t>
  </si>
  <si>
    <t>var(0)</t>
  </si>
  <si>
    <t>Asset Type</t>
  </si>
  <si>
    <t>:D:0:OpExpType.Dept_Exp_Accts</t>
  </si>
  <si>
    <t>Physical Life (Yr)</t>
  </si>
  <si>
    <t>The value of past untagged asset purchases that reach end of life in the current time period</t>
  </si>
  <si>
    <t>Liabilities, segmented by payables, long and short term debt</t>
  </si>
  <si>
    <t>Depts, OpExpType.Employee_Rel_Exp</t>
  </si>
  <si>
    <t>0+Tagged_Assets+0</t>
  </si>
  <si>
    <t>:D:0:Products.Product_1</t>
  </si>
  <si>
    <t>:D:2:Equity</t>
  </si>
  <si>
    <t>The future cumulative product of the annualized cash flow expectation factor (expected cash flow)/(plan cash flow), for each time period. The factor for the last time period applies to the entire tail cash flow after the end of model time.</t>
  </si>
  <si>
    <t>Per_Employee_Exp_Yr["Depts.Sales", "Empl_Rel_Exp_Type.Supplies", DATE(2011,2,1)]|=D123</t>
  </si>
  <si>
    <t>Employee_Bonus_pct["Depts.Marketing", "Job_Levels.Job_Level_1", DATE(2011,3,1)]|=E91</t>
  </si>
  <si>
    <t>Per_Employee_Exp_Yr["Depts.Sales", "Empl_Rel_Exp_Type.Supplies", DATE(2011,4,1)]|=F123</t>
  </si>
  <si>
    <t>Depts, OpExpType.Dept_Exp_Accts</t>
  </si>
  <si>
    <t>Employee_Count1_K_off</t>
  </si>
  <si>
    <t>:A:0:Interest_Rate_Short_Yr</t>
  </si>
  <si>
    <t>Long_Assets</t>
  </si>
  <si>
    <t>:D:0:Cash_Sources.Chg_Short_Term_Debt</t>
  </si>
  <si>
    <t>Price_List_Prod["Products.Product_2", DATE(2011,5,1)]|=G34+1*G34*0-G34*0</t>
  </si>
  <si>
    <t>Direct_Cost_Prod</t>
  </si>
  <si>
    <t>:D:2:Sales_Locations.Location_1</t>
  </si>
  <si>
    <t>Change in cash balance by time period</t>
  </si>
  <si>
    <t>:A:0:Gross_Margin_Prod</t>
  </si>
  <si>
    <t>The discount rate to be used, if the Discount_Method = "direct". Annual rate is quoted for each time period. The model expresses all input discount rates in annual terms.
Annualized discount rate quoted for each time period (whether the time grain of the model is years or not). If Discount_Method = "direct", then the model uses this discount rate to discount cash flows to earlier times during model time. 
A different variable, Tail Discount Rate Yr, is used to discount cash flows in the tail time range (after the end of model time) forward to the end of model time.</t>
  </si>
  <si>
    <t>Payroll Payables</t>
  </si>
  <si>
    <t>Office_Space_per_Person[DATE(2011,6,1)]|=H108</t>
  </si>
  <si>
    <t>Wage_Tax_pct[DATE(2011,3,1)]|=E98</t>
  </si>
  <si>
    <t>OpExp!Operating_Exp_Depts_Sales_OpExpType_Gen_Admin_Exp</t>
  </si>
  <si>
    <t>Operating_Margin_pct</t>
  </si>
  <si>
    <t>Employee_Rel_Exp-if(diminfo("Depts", 0)="Engineering", var(0), 0)</t>
  </si>
  <si>
    <t>Facil_Util_Exp</t>
  </si>
  <si>
    <t>preve(0.15)</t>
  </si>
  <si>
    <t>:A:0:Purch_Raw_Matl_U</t>
  </si>
  <si>
    <t>Sales_Units_Prod_Sc1x["Products.Product_2", "Sales_Locations.Location_2", DATE(2011,5,1)]|=(1+'(Tables)'!F25)*G21</t>
  </si>
  <si>
    <t>if(round(0, 0)&lt;=8, if(round(0, 0)&lt;=4, if(round(0, 0)&lt;=2, if(round(0, 0)=1, preve(0, 0, 1, "year"), preve(0, 0, 2, "year")), if(round(0, 0)=3, preve(0, 0, 3, "year"), preve(0, 0, 4, "year"))), if(round(0, 0)&lt;=6, if(round(0, 0)=5, preve(0, 0, 5, "year"), preve(0, 0, 6, "year")), if(round(0, 0)=7, preve(0, 0, 7, "year"), preve(0, 0, 8, "year")))), preve(0, 0, 9, "year"))</t>
  </si>
  <si>
    <t>:A:-1:Revenue_Orders</t>
  </si>
  <si>
    <t>Dir_Matl_U_per_Prodn_U["Products.Product_1", DATE(2011,3,1)]|=F51*1</t>
  </si>
  <si>
    <t>Accts_Pay_Targ_Days["Accts_Pay_Type.Payroll_Pay", DATE(2011,5,1)]|=H206</t>
  </si>
  <si>
    <t>(Tables)'!Gross_Margin_Prod_Products</t>
  </si>
  <si>
    <t>Sales_Unit_Growth_Prod_display</t>
  </si>
  <si>
    <t>Interest_Rate_Long_Yr[DATE(2011,3,1)]|=E138</t>
  </si>
  <si>
    <t>Inventory_FG_Targ_Days["Products.Product_1", DATE(2011,4,1)]|=F171</t>
  </si>
  <si>
    <t>Inventory_Raw_Targ_Days["Dir_Matl_Types", DATE(2011,5,1)]|=G169</t>
  </si>
  <si>
    <t>ifm(Time&lt;=0.001, 0, max(0, Cash_Targ_Days*periods_per("day")*Revenue_Orders-Cash_No_Short_Debt))</t>
  </si>
  <si>
    <t>Wage expense excluding benefits, payroll taxes, bonuses and commissions</t>
  </si>
  <si>
    <t>The percentage of revenue paid as sales commissions on those orders that are commissionable, by time period</t>
  </si>
  <si>
    <t>Inventory_FG_Targ_Days["Products.Product_1", DATE(2011,5,1)]|=G171</t>
  </si>
  <si>
    <t>Products, Sales_Locations</t>
  </si>
  <si>
    <t>Time_Period</t>
  </si>
  <si>
    <t>Employee Count</t>
  </si>
  <si>
    <t>:A:-1:Untagged_Asset_Purch_Lagged</t>
  </si>
  <si>
    <t>:D:2:Job_Levels</t>
  </si>
  <si>
    <t>Employee Rel Exp Type</t>
  </si>
  <si>
    <t>Cash Flow Expect Factor Future</t>
  </si>
  <si>
    <t>:A:-1:Price_List_Prod</t>
  </si>
  <si>
    <t>:A:-1:Wage_Incr_AnnualQ</t>
  </si>
  <si>
    <t>:A:-1:Tagged_Asset_Depr</t>
  </si>
  <si>
    <t>(Ranges)'!Equity_Equity</t>
  </si>
  <si>
    <t>Income_Tax_Rate[DATE(2011,3,1)]|=E144</t>
  </si>
  <si>
    <t>Direct Cost</t>
  </si>
  <si>
    <t>Sales_Units_Prod_Sc1x["Products.Product_1", "Sales_Locations.Location_1", DATE(2011,5,1)]|=(1+'(Tables)'!F20)*G18</t>
  </si>
  <si>
    <t>nexte(1)*0^(1/periods_per("year"))</t>
  </si>
  <si>
    <t>Interest_Rate_Long_Yr[DATE(2011,4,1)]|=F138</t>
  </si>
  <si>
    <t>The rate of increase of wage rates that is applied in each time period, segmented by department and job level</t>
  </si>
  <si>
    <t>Change in short-term debt from the previous period. The model has a variable for this because (a) this amount will be displayed in the cash flow statement worksheet, and (b) this amount is used in several formulas so it is convenient to store it in a variable.</t>
  </si>
  <si>
    <t xml:space="preserve">  Dir_Material</t>
  </si>
  <si>
    <t>Balance Check</t>
  </si>
  <si>
    <t>Interest_Rate_Short_Yr[DATE(2011,6,1)]|=H137</t>
  </si>
  <si>
    <t>Price_List_Prod["Products.Product_1", DATE(2011,4,1)]|=F33+1*F33*0-F33*0</t>
  </si>
  <si>
    <t>Dir_OH_Cost_per_U_Prod_In</t>
  </si>
  <si>
    <t>Dividend[DATE(2011,2,1)]|=0</t>
  </si>
  <si>
    <t>Per_Employee_Exp_Yr["Depts.Sales", "Empl_Rel_Exp_Type.Supplies", DATE(2011,3,1)]|=E123</t>
  </si>
  <si>
    <t>:A:0:Tagged_Asset_Salvage_CF</t>
  </si>
  <si>
    <t>:A:0:Depreciation</t>
  </si>
  <si>
    <t>(Compute)'!Revenue_Prod_Time_Period</t>
  </si>
  <si>
    <t>:A:-1:Debt_Ratio</t>
  </si>
  <si>
    <t>(Tables)'!Gross_Margin_Prod_Products_Product_2_Sales_Locations_Location_2</t>
  </si>
  <si>
    <t>(Tables)'!Gross_Margin_Prod_Products_Product_2_Sales_Locations_Location_1</t>
  </si>
  <si>
    <t>:A:0:Office_Rent_Rate_Yr</t>
  </si>
  <si>
    <t>Dir_Matl_U_per_Prodn_U["Products.Product_1", DATE(2011,6,1)]|=I51*1</t>
  </si>
  <si>
    <t>Depreciation &amp; Salvage</t>
  </si>
  <si>
    <t>prev(Loss_Forward)-(Operating_Margin-Depreciation-Financial_Exp)+Taxable_Income</t>
  </si>
  <si>
    <t>:D:0:OpExpType.Indir_Labor_Exp</t>
  </si>
  <si>
    <t>Percent of theoretical direct labor hours for production that is used in production of products</t>
  </si>
  <si>
    <t>Cash Flow</t>
  </si>
  <si>
    <t>:A:0:Tagged_Asset_Name</t>
  </si>
  <si>
    <t>Sales!Revenue_Prod_Products_Product_1_Sales_Locations_Location_2</t>
  </si>
  <si>
    <t>:A:0:Facil_Other_Exp_Yr</t>
  </si>
  <si>
    <t xml:space="preserve">  RetainedEarnings</t>
  </si>
  <si>
    <t>Cash balance at the end of each accounting period</t>
  </si>
  <si>
    <t>:A:-1:Chg_Short_Debt</t>
  </si>
  <si>
    <t>Change in accounts receivable from the previous period. The model has a variable for this because (a) this amount will be displayed in the cash flow statement worksheet, and (b) this amount is used in several formulas so it is convenient to store it in a variable.</t>
  </si>
  <si>
    <t>Bad_Debt_pct[DATE(2011,6,1)]|=H140</t>
  </si>
  <si>
    <t>Sales_Unit_Gr_Prod_Yr_Sc1x["Products.Product_1", "Sales_Locations.Location_2", DATE(2011,4,1)]|=2*F24-E24</t>
  </si>
  <si>
    <t>preve(" ", if(Revenue_Prod=0, " ", next(Revenue_Prod)/Revenue_Prod-1))</t>
  </si>
  <si>
    <t>Employee_Bonus_pct["Depts.Sales", "Job_Levels.Job_Level_2", DATE(2011,6,1)]|=H90</t>
  </si>
  <si>
    <t>:D:-1:Cash_Uses</t>
  </si>
  <si>
    <t>Product names. Used in plots.</t>
  </si>
  <si>
    <t>Finished Inventory Value</t>
  </si>
  <si>
    <t>Income_Tax_Rate[DATE(2011,1,1)]|=0</t>
  </si>
  <si>
    <t>Dir_OH_Cost_per_U_Prod_In["Products.Product_2", DATE(2011,2,1)]|=D64*1</t>
  </si>
  <si>
    <t>Wage_Benefits_pct[DATE(2011,4,1)]|=F97</t>
  </si>
  <si>
    <t>Wage_Benefits_pct[DATE(2011,1,1)]|=0.15</t>
  </si>
  <si>
    <t>:A:0:Cost_of_Goods_Prod</t>
  </si>
  <si>
    <t>:D:0:Accts_Pay_Type</t>
  </si>
  <si>
    <t>:A:0:Purchases_Short_Term</t>
  </si>
  <si>
    <t>Average office space (K sqft / person). Applies only to space that is allocated by employee count, not to space that is independent of employee count.</t>
  </si>
  <si>
    <t>Assets.Long</t>
  </si>
  <si>
    <t>Cash Uses</t>
  </si>
  <si>
    <t>Accts_Pay_Targ_Days["Accts_Pay_Type.Vendor_Pay", DATE(2011,4,1)]|=G205</t>
  </si>
  <si>
    <t>Employee_Count1_K_off["Depts.Marketing", "Job_Levels.Job_Level_2", DATE(2011,1,1)]|=if('(Tables)'!C148&lt;0.001+1/12, 0, if(0=0, 1, '(Tables)'!B172/0)*0)</t>
  </si>
  <si>
    <t>Wage_Expense</t>
  </si>
  <si>
    <t>:A:-1:Depreciation</t>
  </si>
  <si>
    <t>:A:0:Income_Tax_Rate</t>
  </si>
  <si>
    <t>Employee-related expenses, segmented by department and expense type</t>
  </si>
  <si>
    <t>Selling_Exp_Ratio</t>
  </si>
  <si>
    <t xml:space="preserve">  Dividend</t>
  </si>
  <si>
    <t>:D:0:Assets.Short.Cash</t>
  </si>
  <si>
    <t>Maint ($/sqft/Yr)</t>
  </si>
  <si>
    <t>:A:-1:Tagged_Asset_Init_Value</t>
  </si>
  <si>
    <t>Dividend[DATE(2011,3,1)]|=0</t>
  </si>
  <si>
    <t>Inventory_Raw_Targ_Days["Dir_Matl_Types", DATE(2011,4,1)]|=F169</t>
  </si>
  <si>
    <t>The target for cash balance at the end of each accounting period, expressed as a number of days of revenue. This is the key parameter in the policy for determining the level of short-term debt to be carried a the end of each accounting period.</t>
  </si>
  <si>
    <t>Gen &amp; Admin Exp 1</t>
  </si>
  <si>
    <t>:D:1:Liabilities.Long</t>
  </si>
  <si>
    <t xml:space="preserve">  Chg_Long_Term_Debt</t>
  </si>
  <si>
    <t>Long_Loans[DATE(2011,2,1)]|=E218</t>
  </si>
  <si>
    <t>Wage_Incr_pct[DATE(2011,3,1)]|=E85</t>
  </si>
  <si>
    <t>Depreciation life of each tagged asset expressed in years</t>
  </si>
  <si>
    <t>:A:0:Inventory_FG_Targ_Days</t>
  </si>
  <si>
    <t>:A:-1:Inventory_FG_Units</t>
  </si>
  <si>
    <t>Dir_Matl_Cost_per_DM_U_Prod*0*(Purch_Raw_Matl_U/0)^1</t>
  </si>
  <si>
    <t>:A:0:Chg_Short_Debt</t>
  </si>
  <si>
    <t>Mktg_Exp_Ratio</t>
  </si>
  <si>
    <t>:D:0:Liabilities.Long.Bonds</t>
  </si>
  <si>
    <t>Wage_Average_Initial_Yr["Job_Levels.Job_Level_2", "Depts.Marketing"]|=80000</t>
  </si>
  <si>
    <t>Sales_Commission</t>
  </si>
  <si>
    <t>Product 1</t>
  </si>
  <si>
    <t>Product 2</t>
  </si>
  <si>
    <t>:A:0:Inventory_Raw_Matl_U_Init</t>
  </si>
  <si>
    <t>:D:0:Assets.Long</t>
  </si>
  <si>
    <t>The ratio (employee count at end of time period)/ (revenue for time period)</t>
  </si>
  <si>
    <t>Per_Employee_Exp_Yr["Depts.Sales", "Empl_Rel_Exp_Type.Travel_Entertain", DATE(2011,2,1)]|=D124</t>
  </si>
  <si>
    <t>(Tables)'!Employee_Count1_K_off_Depts_Sales</t>
  </si>
  <si>
    <t>:A:0:Cash_No_Short_Debt</t>
  </si>
  <si>
    <t>ifm(current_date(1)&lt;model_date(1), Inventory_Raw_Matl_U_Init, prev(Inventory_Raw_Matl_U)+Purch_Raw_Matl_U-matmult(Dir_Matl_U_per_Prodn_U, Prodn_Units, "Products"))</t>
  </si>
  <si>
    <t>:D:0:Liabilities.Short.AcctsPay</t>
  </si>
  <si>
    <t>Per_Employee_Exp_Yr["Depts.Marketing", "Empl_Rel_Exp_Type.Other", DATE(2011,4,1)]|=F128</t>
  </si>
  <si>
    <t>Revenue at List Price - Products</t>
  </si>
  <si>
    <t>Accts_Rec_Days_Prod[DATE(2011,6,1)]|=H180</t>
  </si>
  <si>
    <t>Tagged_Asset_Life_Depr_Yr</t>
  </si>
  <si>
    <t>Operating Margin %</t>
  </si>
  <si>
    <t>Average actual selling price including discounts below list price, segmented by product, by time period</t>
  </si>
  <si>
    <t>Unapplied Direct Labor</t>
  </si>
  <si>
    <t>Depts_plt</t>
  </si>
  <si>
    <t>The ratio (trailing annual net income) / assets, by time period</t>
  </si>
  <si>
    <t>Income_Tax_Rate[DATE(2011,5,1)]|=G144</t>
  </si>
  <si>
    <t xml:space="preserve">  Tax_Pay</t>
  </si>
  <si>
    <t>Depreciation</t>
  </si>
  <si>
    <t>:D:2:Cash_Sources.Net_Income</t>
  </si>
  <si>
    <t>Gen_Admin_Exp</t>
  </si>
  <si>
    <t>(Tables)'!Gross_Margin_Prod_Products_Product_1_Sales_Locations_Location_2</t>
  </si>
  <si>
    <t xml:space="preserve">  Chg_Inventory</t>
  </si>
  <si>
    <t>Short_Debt[DATE(2011,6,1)]|=max(0, '(Compute)'!H7-'(Tables)'!H244)</t>
  </si>
  <si>
    <t>:A:0:Employee_Count</t>
  </si>
  <si>
    <t>Per Employee Exp/Yr</t>
  </si>
  <si>
    <t xml:space="preserve">    AcctsPay</t>
  </si>
  <si>
    <t>Accts_Payable_Init</t>
  </si>
  <si>
    <t>:A:-1:Interest_Rate_Long_Yr</t>
  </si>
  <si>
    <t>Inventory_FG_Targ_Days["Products.Product_2", DATE(2011,3,1)]|=E172</t>
  </si>
  <si>
    <t>:A:0:Inventory_Raw_Targ_Days</t>
  </si>
  <si>
    <t>Price_Discount_pct_Prod["Products.Product_2", "Sales_Locations.Location_1", DATE(2011,6,1)]|=H38</t>
  </si>
  <si>
    <t>Sales_Unit_Gr_Prod_Yr_Sc1x["Products.Product_2", "Sales_Locations.Location_1", DATE(2011,1,1)]|=2*0-0</t>
  </si>
  <si>
    <t>:A:0:Selling_Exp_Ratio</t>
  </si>
  <si>
    <t>round(periods_per("year")*Tagged_Asset_Life_Depr_Yr, 0)</t>
  </si>
  <si>
    <t>Cost_of_Goods_Prod</t>
  </si>
  <si>
    <t>:A:0:G_A_Exp_Ratio</t>
  </si>
  <si>
    <t>Revenue_CAGR</t>
  </si>
  <si>
    <t>Sales_Commis_Rate</t>
  </si>
  <si>
    <t>Facilities</t>
  </si>
  <si>
    <t>Dept Exp Accts</t>
  </si>
  <si>
    <t>The rate of increase of wage rates, by time period. The variable 'Wage Increase Annual?' determines whether this rate of increase is interpreted as an annual rate spread over all time periods, or as the actual rate that is applied in each time period.</t>
  </si>
  <si>
    <t>:A:0:Sales_Unit_Growth_Prod_display</t>
  </si>
  <si>
    <t>preve(1)*1["Dir_Cost_Types.Dir_Material"]</t>
  </si>
  <si>
    <t>:A:-1:Tagged_Asset_Name</t>
  </si>
  <si>
    <t>(Compute)'!Assets_Date</t>
  </si>
  <si>
    <t>Department</t>
  </si>
  <si>
    <t>Wage_Incr_pct</t>
  </si>
  <si>
    <t>:A:0:Rev_at_List_Price_Prod</t>
  </si>
  <si>
    <t>Cogs GM'!Gross_Margin_Sales_Locations_Location_2</t>
  </si>
  <si>
    <t>Gen_Admin_Exp_K_off["Depts.Marketing", "GA_Exp.IT_Expense", DATE(2011,6,1)]|=H118*if(IncStmt!F6=0, 1, IncStmt!G6/IncStmt!F6)</t>
  </si>
  <si>
    <t>Sales_Unit_Gr_Prod_Yr_Sc1x["Products.Product_2", "Sales_Locations.Location_1", DATE(2011,5,1)]|=2*G25-F25</t>
  </si>
  <si>
    <t>Inputs!Employee_Count1_K_off_Depts_Sales_Job_Levels_Job_Level_1</t>
  </si>
  <si>
    <t>model_date(2)</t>
  </si>
  <si>
    <t>Per_Employee_Exp_Yr["Depts.Sales", "Empl_Rel_Exp_Type.Other", DATE(2011,5,1)]|=G125</t>
  </si>
  <si>
    <t>(Compute)'!Employee_Count_Time_Period</t>
  </si>
  <si>
    <t>(Ranges)'!Assets_Assets_Short_Cash</t>
  </si>
  <si>
    <t>Sales_Unit_Gr_Prod_Yr_Sc1x["Products.Product_1", "Sales_Locations.Location_1", DATE(2011,6,1)]|=2*H23-G23</t>
  </si>
  <si>
    <t>(Ranges)'!Assets_Assets</t>
  </si>
  <si>
    <t>:A:0:Gross_Margin_pct</t>
  </si>
  <si>
    <t>:A:-1:Selling_Exp_Ratio</t>
  </si>
  <si>
    <t>(Tables)'!Gross_Margin_Prod_Products_Product_1</t>
  </si>
  <si>
    <t>(Compute)'!Operating_Exp_Time_Period</t>
  </si>
  <si>
    <t>Sources of Cash</t>
  </si>
  <si>
    <t>Sales_Commis_Rate*Sales_Commis_Rev_Share*Revenue_Orders</t>
  </si>
  <si>
    <t>:A:0:Sales_Unit_Gr_Prod_Yr_Sc1x</t>
  </si>
  <si>
    <t>Operating Margin</t>
  </si>
  <si>
    <t>(Compute)'!Revenue_Prod_Date</t>
  </si>
  <si>
    <t>Depreciation expense during each accounting period, segmented by type of asset (hardware, software, equipment &amp; furniture)</t>
  </si>
  <si>
    <t>:A:0:Interest_Rate_Earned_Cash_Yr</t>
  </si>
  <si>
    <t>Sales_Units_Prod_Sc1x["Products.Product_1", "Sales_Locations.Location_2", DATE(2011,2,1)]|=(1+'(Tables)'!C21)*D19</t>
  </si>
  <si>
    <t>Chg Inventory</t>
  </si>
  <si>
    <t>Dir_OH_Cost_per_U_Prod_In["Products.Product_1", DATE(2011,4,1)]|=F63*1</t>
  </si>
  <si>
    <t>Sales_Commis_Rev_Share[DATE(2011,4,1)]|=F95</t>
  </si>
  <si>
    <t>:A:-1:Mktg_Expense</t>
  </si>
  <si>
    <t>:A:-1:Tagged_Asset_Life_Depr_Period</t>
  </si>
  <si>
    <t>:A:-1:Operating_Exp</t>
  </si>
  <si>
    <t>Discount_Rate</t>
  </si>
  <si>
    <t>Liabilities.Short.ShortDebt</t>
  </si>
  <si>
    <t>rollup(true, if(Prodn_Units=0, 0, Cost_of_Goods_Prod/Prodn_Units), "Dir_Matl_Types", rollup(sum), "Products", if(Prodn_Units=0, 0, Cost_of_Goods_Prod["Dir_Cost_Types.Dir_Material"]/Prodn_Units))</t>
  </si>
  <si>
    <t>Employee_Bonus_pct["Depts.Marketing", "Job_Levels.Job_Level_2", DATE(2011,4,1)]|=F92</t>
  </si>
  <si>
    <t>Raw Matl Inventory Units</t>
  </si>
  <si>
    <t>Net income</t>
  </si>
  <si>
    <t>Employee_per_RevM</t>
  </si>
  <si>
    <t>Bad_Debt_Exp+Interest_Exp_Net</t>
  </si>
  <si>
    <t>ifm(Time&lt;=2.51, 0, ifm(mod(month(current_date(1)), 3)&gt;0, 0, 0.50*preve(0, Dividend)+0.50*max(0, preve(0, Cash, 0.25, "year")-2000-(0.25+0.5*Revenue_Growth)*preve(0, Revenue, 0.25, "year"))))</t>
  </si>
  <si>
    <t>:A:-1:Cash_Flow_Oper</t>
  </si>
  <si>
    <t>Sales_Units_Prod_Sc1x["Products.Product_1", "Sales_Locations.Location_2", DATE(2011,5,1)]|=(1+'(Tables)'!F21)*G19</t>
  </si>
  <si>
    <t>Income_Tax_Rate</t>
  </si>
  <si>
    <t>:A:-1:Gross_Margin_Prod_pct</t>
  </si>
  <si>
    <t>:D:0:Dir_Cost_Types.Dir_Labor</t>
  </si>
  <si>
    <t>Employee_Count1_K_off["Depts.Marketing", "Job_Levels.Job_Level_1", DATE(2011,3,1)]|=if('(Tables)'!E148&lt;0.001+1/12, 0, if('(Tables)'!C172=0, 1, '(Tables)'!D172/'(Tables)'!C172)*E75)</t>
  </si>
  <si>
    <t>:A:-1:Mktg_Exp_Ratio</t>
  </si>
  <si>
    <t>Assumed annual growth rate of product sales units in scenario 2, by time period. The model tries to express all input growth rates in annual terms.</t>
  </si>
  <si>
    <t>Per_Employee_Exp_Yr["Depts.Sales", "Empl_Rel_Exp_Type.Supplies", DATE(2011,5,1)]|=G123</t>
  </si>
  <si>
    <t>Cash Target Days</t>
  </si>
  <si>
    <t>Gen_Admin_Exp_K_Off</t>
  </si>
  <si>
    <t xml:space="preserve">  Other</t>
  </si>
  <si>
    <t>Employee_Count1_K_off["Depts.Sales", "Job_Levels.Job_Level_1", DATE(2011,2,1)]|=if('(Tables)'!D148&lt;0.001+1/12, 0, if('(Tables)'!B172=0, 1, '(Tables)'!C172/'(Tables)'!B172)*D73)</t>
  </si>
  <si>
    <t>(Tables)'!Gross_Margin_Prod_Products_Product_1_Sales_Locations</t>
  </si>
  <si>
    <t>Asset_Turnover</t>
  </si>
  <si>
    <t>IncStmt!Gross_Margin_Sales_Locations</t>
  </si>
  <si>
    <t>Per_Employee_Exp_Yr["Depts.Sales", "Empl_Rel_Exp_Type.Travel_Entertain", DATE(2011,6,1)]|=H124</t>
  </si>
  <si>
    <t>:D:0:Cash_Sources.Deferred_Revenue</t>
  </si>
  <si>
    <t>Utilities ($/sqft/Yr)</t>
  </si>
  <si>
    <t>OpExp!Operating_Exp_Depts_Marketing_OpExpType_Gen_Admin_Exp</t>
  </si>
  <si>
    <t>Employee Bonus</t>
  </si>
  <si>
    <t>Initial AR - Products</t>
  </si>
  <si>
    <t>Variable that counts how many time periods have passed during the life of each tagged asset, for each time period. Negative before period purchased. Zero during period purchased. Constant after end of life. Used as input to depreciation functions that require the number of the time period for which depreciation is computed.
Code: -1 means before the period of purchase, 0 means the period in which the asset is purchased, -2 means after end of life.</t>
  </si>
  <si>
    <t>2*preve(0)-preve(preve(0), Sales_Unit_Gr_Prod_Yr_Sc1x, 2)</t>
  </si>
  <si>
    <t>:A:0:Chg_Bond_Principal_short</t>
  </si>
  <si>
    <t>Sales_Unit_Gr_Prod_Yr_Sc1x</t>
  </si>
  <si>
    <t>Office_Rent_Rate_Yr[DATE(2011,1,1)]|=0</t>
  </si>
  <si>
    <t>Indirect Labor Expense</t>
  </si>
  <si>
    <t>Indirect Labor'!Employee_Count_Depts</t>
  </si>
  <si>
    <t>Wage_Benefits_pct[DATE(2011,3,1)]|=E97</t>
  </si>
  <si>
    <t>Accts_Pay_Targ_Days["Accts_Pay_Type.Vendor_Pay", DATE(2011,3,1)]|=F205</t>
  </si>
  <si>
    <t>Debt_Ratio</t>
  </si>
  <si>
    <t xml:space="preserve">  Deferred_Revenue</t>
  </si>
  <si>
    <t>Uses of Cash</t>
  </si>
  <si>
    <t>Direct labor costs per product unit produced or acquired, segmented by product and time period. Includes optional production learning effects. You should enter data for the first time period, and for any product and time period in which direct cost per unit changes.</t>
  </si>
  <si>
    <t>Wage_Average_Initial_Yr["Job_Levels.Job_Level_2", "Depts.Sales"]|=80000</t>
  </si>
  <si>
    <t>true</t>
  </si>
  <si>
    <t>IncStmt!Operating_Exp_Depts</t>
  </si>
  <si>
    <t>Sales!Revenue_Prod_Products_Product_1</t>
  </si>
  <si>
    <t>Sales!Revenue_Prod_Products_Product_2</t>
  </si>
  <si>
    <t>OpExp!Operating_Exp_Depts_Sales_OpExpType_Dept_Exp_Accts</t>
  </si>
  <si>
    <t>The estimated amount of accounts receivable from sale of products, at the end of a time period, expressed as a number of days of revenue. Used to compute accounts receivable.</t>
  </si>
  <si>
    <t xml:space="preserve">  Location_2</t>
  </si>
  <si>
    <t>:A:-1:Office_Utilities_Rate_Yr</t>
  </si>
  <si>
    <t>Operating_Exp["Depts.Marketing"]</t>
  </si>
  <si>
    <t>Interest_Rate_Earned_Cash_Yr</t>
  </si>
  <si>
    <t>Depr Life (Yr)</t>
  </si>
  <si>
    <t>Wage_Tax_pct[DATE(2011,6,1)]|=H98</t>
  </si>
  <si>
    <t>Sales revenue, segmented by location and time period. Includes product revenue, support revenue and contract revenue. If revenue is accrued, then accrued revenue is used here. This is revenue net of sales returns.</t>
  </si>
  <si>
    <t>Interest rate earned on average cash balance during each time period</t>
  </si>
  <si>
    <t>Employee_Rel_Exp</t>
  </si>
  <si>
    <t>matmult(Dir_Matl_U_per_Prodn_U, Prodn_Units, "Products")</t>
  </si>
  <si>
    <t>(Compute)'!Revenue_Date</t>
  </si>
  <si>
    <t>:A:-1:Accts_Pay_Days</t>
  </si>
  <si>
    <t>Debt Ratio</t>
  </si>
  <si>
    <t>Dir_Matl_Cost_per_DM_U_Prod</t>
  </si>
  <si>
    <t>:A:0:Mktg_Exp_Ratio</t>
  </si>
  <si>
    <t xml:space="preserve">  Location_1</t>
  </si>
  <si>
    <t>:A:-1:Inventory_Raw_Matl_U</t>
  </si>
  <si>
    <t>:D:-1:Equity</t>
  </si>
  <si>
    <t>Price_Discount_pct_Prod["Products.Product_2", "Sales_Locations.Location_2", DATE(2011,5,1)]|=G39</t>
  </si>
  <si>
    <t>Depreciation expense for each tagged asset, by time period. Possible values are "SLN" (linear), "SYD" (sum of digits), and "DDB" (double declining balance); the default method is "SLN".</t>
  </si>
  <si>
    <t>Book value of raw materials inventory, segmented by material type and time period. Uses LIFO inventory accounting.</t>
  </si>
  <si>
    <t>Dir_Labor_Cost_per_U_Sup_Yr_In</t>
  </si>
  <si>
    <t>Chg Long Debt</t>
  </si>
  <si>
    <t>Gen_Admin_Exp_K_off["Depts.Marketing", "GA_Exp.IT_Expense", DATE(2011,4,1)]|=F118*if(IncStmt!D6=0, 1, IncStmt!E6/IncStmt!D6)</t>
  </si>
  <si>
    <t>:D:0:GA_Exp</t>
  </si>
  <si>
    <t>Direct Material Cost / U</t>
  </si>
  <si>
    <t>if(Revenue=0, 0, Operating_Margin/Revenue)</t>
  </si>
  <si>
    <t>Untagged Asset Purch Lagged</t>
  </si>
  <si>
    <t>Accts_Pay_Days</t>
  </si>
  <si>
    <t>(Ranges)'!Assets_Assets_Long</t>
  </si>
  <si>
    <t>Employee_Bonus_pct["Depts.Sales", "Job_Levels.Job_Level_1", DATE(2011,5,1)]|=G89</t>
  </si>
  <si>
    <t>:A:0:Employee_per_RevM</t>
  </si>
  <si>
    <t>:D:0:OpExpType.Gen_Admin_Exp</t>
  </si>
  <si>
    <t>Per_Employee_Exp_Yr["Depts.Sales", "Empl_Rel_Exp_Type.Travel_Entertain", DATE(2011,3,1)]|=E124</t>
  </si>
  <si>
    <t>Inventory_Raw_Matl_U_Init["Dir_Matl_Types"]|</t>
  </si>
  <si>
    <t>Revenue_per_Employee</t>
  </si>
  <si>
    <t>:D:2:GA_Exp.IT_Expense</t>
  </si>
  <si>
    <t>A list of types of employee-related operating expenses tracked separately in the plan. Wages and wage-related expenses are tracked separately.</t>
  </si>
  <si>
    <t>Asset Turnover</t>
  </si>
  <si>
    <t>Price_List_Prod["Products.Product_1", DATE(2011,6,1)]|=H33+1*H33*0-H33*0</t>
  </si>
  <si>
    <t>Value of purchases of long term assets, including tagged and untagged long-term assets, by time period</t>
  </si>
  <si>
    <t>Tagged_Asset_Life_Depr_Yr["Asset_Tags.Asset_1"]|=10</t>
  </si>
  <si>
    <t>:D:2:Dir_Cost_Types</t>
  </si>
  <si>
    <t>World</t>
  </si>
  <si>
    <t>Financial Exp</t>
  </si>
  <si>
    <t>Dir_Matl_U_per_Prodn_U</t>
  </si>
  <si>
    <t>Purch_Raw_Matl_U</t>
  </si>
  <si>
    <t>:A:-1:Interest_Rate_Short_Yr</t>
  </si>
  <si>
    <t>:A:0:Untagged_Asset_Purch_Lagged</t>
  </si>
  <si>
    <t>Tagged_Asset_Life_Phys_Yr["Asset_Tags.Asset_1"]|=H188</t>
  </si>
  <si>
    <t>preve(1)-preve(1)*0+preve(1)*0*1</t>
  </si>
  <si>
    <t>:A:-1:Sales_Commis_Rate</t>
  </si>
  <si>
    <t>:A:-1:Tagged_Asset_Depr_Method</t>
  </si>
  <si>
    <t>:A:0:Liabilities</t>
  </si>
  <si>
    <t>Employee_Count1_K_off["Depts.Sales", "Job_Levels.Job_Level_2", DATE(2011,4,1)]|=if('(Tables)'!F148&lt;0.001+1/12, 0, if('(Tables)'!D172=0, 1, '(Tables)'!E172/'(Tables)'!D172)*F74)</t>
  </si>
  <si>
    <t>:D:1:Accts_Pay_Type</t>
  </si>
  <si>
    <t>if(Sales_Units_Prod=0, 0, Rev_at_List_Price_Prod/Sales_Units_Prod)</t>
  </si>
  <si>
    <t>The employee bonus pool per time period, segmented by department</t>
  </si>
  <si>
    <t>:D:0:Equity</t>
  </si>
  <si>
    <t>Inventory_Raw_Matl_U</t>
  </si>
  <si>
    <t>ifm(Time&lt;0.99, 0, if(Assets=0, 0, sum(ranget(Net_Income, date(year(current_date(1))-1, month(current_date(1)), day(current_date(1))+1), current_date(1)))/Assets))</t>
  </si>
  <si>
    <t>Inventory_Raw_Matl_U_Init</t>
  </si>
  <si>
    <t>Income_Tax_Rate*Taxable_Income</t>
  </si>
  <si>
    <t>if(Assets=0, 0, Liabilities/Assets)</t>
  </si>
  <si>
    <t>:D:0:Asset_Tags.Asset_1</t>
  </si>
  <si>
    <t>:D:0:Cash_Sources.Chg_Accts_Payable</t>
  </si>
  <si>
    <t xml:space="preserve">Employees/Rev Million </t>
  </si>
  <si>
    <t>preve(60)</t>
  </si>
  <si>
    <t>Production Units</t>
  </si>
  <si>
    <t>:A:-1:Wage_Average</t>
  </si>
  <si>
    <t>Cash_Targ_Days[DATE(2011,5,1)]|=G157</t>
  </si>
  <si>
    <t>Long Term Assets</t>
  </si>
  <si>
    <t>Products, Dir_Cost_Types.Dir_Labor</t>
  </si>
  <si>
    <t>Employee_Bonus_pct["Depts.Sales", "Job_Levels.Job_Level_2", DATE(2011,3,1)]|=E90</t>
  </si>
  <si>
    <t>Dir_Labor_Types_Prod</t>
  </si>
  <si>
    <t>:A:-1:Net_Stock_Issue</t>
  </si>
  <si>
    <t>:A:0:Sales_Unit_Growth_Prod</t>
  </si>
  <si>
    <t>:A:-1:Wage_incr_period_pct</t>
  </si>
  <si>
    <t>(Tables)'!Employee_Count1_K_off_Depts_Marketing</t>
  </si>
  <si>
    <t>Dir Cost Types</t>
  </si>
  <si>
    <t>Current_Ratio</t>
  </si>
  <si>
    <t>Sales_Unit_Gr_Prod_Yr_Sc1x["Products.Product_2", "Sales_Locations.Location_2", DATE(2011,5,1)]|=2*G26-F26</t>
  </si>
  <si>
    <t>:A:0:Tagged_Asset_Depr_Method</t>
  </si>
  <si>
    <t>:A:0:Inventory_Raw_Matl_Init</t>
  </si>
  <si>
    <t>Purch_Raw_Matl</t>
  </si>
  <si>
    <t>Short_Debt[DATE(2011,3,1)]|=max(0, '(Compute)'!E7-'(Tables)'!E244)</t>
  </si>
  <si>
    <t>Office_Utilities_Rate_Yr[DATE(2011,4,1)]|=F110</t>
  </si>
  <si>
    <t>Accts_Pay_Targ_Days["Accts_Pay_Type.Payroll_Pay", DATE(2011,2,1)]|=E206</t>
  </si>
  <si>
    <t>Supplies</t>
  </si>
  <si>
    <t>Products, Dir_Cost_Types, Sales_Locations</t>
  </si>
  <si>
    <t>Long_Loans[DATE(2011,5,1)]|=H218</t>
  </si>
  <si>
    <t>if(Revenue=0, 0, Gen_Admin_Exp/Revenue)</t>
  </si>
  <si>
    <t>Accts_Pay_Targ_Days["Accts_Pay_Type.Vendor_Pay", DATE(2011,6,1)]|=I205</t>
  </si>
  <si>
    <t xml:space="preserve">  IT_Expense</t>
  </si>
  <si>
    <t>Sales</t>
  </si>
  <si>
    <t>Raw Inventory Targ Days</t>
  </si>
  <si>
    <t>Change in Bond principal from the previous period. The model has a variable for this because (a) this amount will be displayed in the cash flow statement worksheet, and (b) this amount is used in several formulas so it is convenient to store it in a variable. This version of the variable omits the time periods before the model start date.</t>
  </si>
  <si>
    <t>Sales Unit Gr/Yr, Prods</t>
  </si>
  <si>
    <t>Tagged_Asset_Salvage_Value</t>
  </si>
  <si>
    <t>:A:0:Prodn_Units</t>
  </si>
  <si>
    <t>Asset Salvage CF</t>
  </si>
  <si>
    <t>The ratio marketing department expense / revenue, by time period</t>
  </si>
  <si>
    <t>Bad_Debt_Exp</t>
  </si>
  <si>
    <t>Units of products sold, segmented by product, by time period</t>
  </si>
  <si>
    <t>Direct Cost / U</t>
  </si>
  <si>
    <t>Company_Name</t>
  </si>
  <si>
    <t>Facil_Util_Exp-if(diminfo("Depts", 0)="Engineering", var(0), 0)</t>
  </si>
  <si>
    <t>Taxes Payable</t>
  </si>
  <si>
    <t>Short_Debt</t>
  </si>
  <si>
    <t>Employee_Count1_K_off["Depts.Marketing", "Job_Levels.Job_Level_1", DATE(2011,6,1)]|=if('(Tables)'!H148&lt;0.001+1/12, 0, if('(Tables)'!F172=0, 1, '(Tables)'!G172/'(Tables)'!F172)*H75)</t>
  </si>
  <si>
    <t>:D:-1:Dir_Cost_Types</t>
  </si>
  <si>
    <t>Dividend[DATE(2011,5,1)]|=0</t>
  </si>
  <si>
    <t>Tagged_Asset_Depr_Method["Asset_Tags.Asset_1"]|="SLN"</t>
  </si>
  <si>
    <t>Per_Employee_Exp_Yr["Depts.Marketing", "Empl_Rel_Exp_Type.Travel_Entertain", DATE(2011,3,1)]|=E127</t>
  </si>
  <si>
    <t>(Ranges)'!Liabilities_Liabilities_Long_Bonds</t>
  </si>
  <si>
    <t>Sales_Units_Prod_Sc1x["Products.Product_2", "Sales_Locations.Location_1", DATE(2011,6,1)]|=(1+'(Tables)'!G24)*H20</t>
  </si>
  <si>
    <t>Rev_at_List_Price_Prod</t>
  </si>
  <si>
    <t>Per_Employee_Exp_Yr</t>
  </si>
  <si>
    <t>:D:0:Liabilities.Short.ShortDebt</t>
  </si>
  <si>
    <t>Indirect Labor'!Employee_Count_Depts_Sales</t>
  </si>
  <si>
    <t>Time Period</t>
  </si>
  <si>
    <t>:D:-1:Cash_Sources</t>
  </si>
  <si>
    <t>Sales_Units_Prod_Sc1x["Products.Product_1", "Sales_Locations.Location_1", DATE(2011,2,1)]|=(1+'(Tables)'!C20)*D18</t>
  </si>
  <si>
    <t>Cash Sources</t>
  </si>
  <si>
    <t>Per_Employee_Exp_Yr["Depts.Sales", "Empl_Rel_Exp_Type.Other", DATE(2011,2,1)]|=D125</t>
  </si>
  <si>
    <t>Office_Maint_Rate_Yr[DATE(2011,5,1)]|=G111</t>
  </si>
  <si>
    <t>:A:0:Gross_Margin</t>
  </si>
  <si>
    <t>Long_Asset_Purch</t>
  </si>
  <si>
    <t>Sales_Units_RoundQ</t>
  </si>
  <si>
    <t>Discount % - Products</t>
  </si>
  <si>
    <t>:A:0:Sales_Commission</t>
  </si>
  <si>
    <t>Gross_Margin_Prod+0+0</t>
  </si>
  <si>
    <t>Chg Accts Payable</t>
  </si>
  <si>
    <t>Office_Rent_Rate_Yr[DATE(2011,3,1)]|=E109</t>
  </si>
  <si>
    <t>Assets.Short.Cash</t>
  </si>
  <si>
    <t>:A:-1:Long_Asset_Purch</t>
  </si>
  <si>
    <t>Office_Maint_Rate_Yr[DATE(2011,4,1)]|=F111</t>
  </si>
  <si>
    <t>Inventory_FG_Targ_Days["Products.Product_1", DATE(2011,6,1)]|=H171</t>
  </si>
  <si>
    <t>Purch Date</t>
  </si>
  <si>
    <t>Return on Equity</t>
  </si>
  <si>
    <t>Dir_OH_Cost_per_U_Prod_In["Products.Product_2", DATE(2011,6,1)]|=H64*1</t>
  </si>
  <si>
    <t>:A:0:Gross_Margin_Prod_pct</t>
  </si>
  <si>
    <t xml:space="preserve">  Job_Level_2</t>
  </si>
  <si>
    <t>Gen &amp; Admin Exp</t>
  </si>
  <si>
    <t>Sales commission expense paid only on commissionable sales, without employee benefits or wage taxes, by time period. Commissions are paid when orders are placed (not when deferred revenues are accrued).
If no department has the name "Sales", then sales commissions may not be included in operating expenses.</t>
  </si>
  <si>
    <t>:D:0:Liabilities.Short.Deferred_Revenue</t>
  </si>
  <si>
    <t>Indirect labor expense, segmented by job level, for each time period.
Sales commissions go to the Sales department, allocated to employees proportional to wage and salary compensation.</t>
  </si>
  <si>
    <t>:A:-1:Sales_Unit_Growth_Prod</t>
  </si>
  <si>
    <t>Direct costs incurred in building or acquiring product units (and support units if included in the model), by product, by cost type, and by time period</t>
  </si>
  <si>
    <t>Dividend[DATE(2011,6,1)]|=0</t>
  </si>
  <si>
    <t>Facilities &amp; Utilities Exp</t>
  </si>
  <si>
    <t>Sales_Commis_Rate[DATE(2011,3,1)]|=E94</t>
  </si>
  <si>
    <t>Return_on_Sales_pct</t>
  </si>
  <si>
    <t>Sales Commission</t>
  </si>
  <si>
    <t>:A:0:Inventory_FG_Init</t>
  </si>
  <si>
    <t>Growth rate of revenue compared to the previous time period, segmented by product, by time period</t>
  </si>
  <si>
    <t>ifm(Time&lt;=0.001+1/periods_per("year"), 0, preve(0)*if(preve(0, Revenue["Sales_Locations"])=0, 1, Revenue["Sales_Locations"]/preve(0, Revenue["Sales_Locations"])))</t>
  </si>
  <si>
    <t>Initial units of raw goods inventory at the start of model time, segmented by direct material type</t>
  </si>
  <si>
    <t>Cost of Goods &amp; Services</t>
  </si>
  <si>
    <t>Inventory_Raw_Targ_Days["Dir_Matl_Types", DATE(2011,6,1)]|=H169</t>
  </si>
  <si>
    <t>Accts Payable Type</t>
  </si>
  <si>
    <t>Dir_Matl_U_per_Prodn_U["Products.Product_2", DATE(2011,4,1)]|=G52*1</t>
  </si>
  <si>
    <t>Dir_OH_Cost_per_U_Prod_In["Products.Product_2", DATE(2011,1,1)]|=0*1</t>
  </si>
  <si>
    <t>ifm(length(ranget(Time, model_date(1, periods_per("year")), model_date(2)-1))&lt;2, " ", if(isnumber(match(0, ranget(Revenue, model_date(1, periods_per("year")), model_date(2)-1), 0)), " ", logest(1, 1, true, ranget(Revenue, model_date(1, periods_per("year")), model_date(2)-1), ranget(Time, model_date(1, periods_per("year")), model_date(2)-1))-1))</t>
  </si>
  <si>
    <t>Short Interest %/Yr</t>
  </si>
  <si>
    <t>Net_Stock_Issue[DATE(2011,6,1)]|=0</t>
  </si>
  <si>
    <t>:D:1:Empl_Rel_Exp_Type</t>
  </si>
  <si>
    <t>Cash_Initial[]|</t>
  </si>
  <si>
    <t>:D:-1:OpExpType</t>
  </si>
  <si>
    <t>Change in long-term debt from the previous period, including loans and bonds. The model has a variable for this because (a) this amount will be displayed in the cash flow statement worksheet, and (b) this amount is used in several formulas so it is convenient to store it in a variable.</t>
  </si>
  <si>
    <t>The size of the employee bonus pool as a percentage of wages, by department and job level, by time period</t>
  </si>
  <si>
    <t>Cash_Starting+Cash_Sources-Cash_Uses-Cash</t>
  </si>
  <si>
    <t>preve(" ", if(Sales_Units_Prod=0, 0, next(Sales_Units_Prod)/Sales_Units_Prod-1))</t>
  </si>
  <si>
    <t>:A:0:Revenue_Prod</t>
  </si>
  <si>
    <t>:A:0:Time</t>
  </si>
  <si>
    <t>Per_Employee_Exp_Yr["Depts.Marketing", "Empl_Rel_Exp_Type.Supplies", DATE(2011,3,1)]|=E126</t>
  </si>
  <si>
    <t>Cash_No_Short_Debt</t>
  </si>
  <si>
    <t>Operating Exp Type</t>
  </si>
  <si>
    <t>Office_Utilities_Rate_Yr[DATE(2011,3,1)]|=E110</t>
  </si>
  <si>
    <t>Income_Tax_Rate[DATE(2011,6,1)]|=H144</t>
  </si>
  <si>
    <t>:A:0:Cash_Flow_Equity</t>
  </si>
  <si>
    <t>Equity_Type</t>
  </si>
  <si>
    <t>:A:-1:Retained_Earnings</t>
  </si>
  <si>
    <t>Liabilities.Long.Long_Term_Loans</t>
  </si>
  <si>
    <t>The stock of retained earnings at the end of each time period. The value at the start of model time is determined by the accounting identity Retained Earnings = Assets - Liabilities - Paid_In_Capital.</t>
  </si>
  <si>
    <t>Discount Factor</t>
  </si>
  <si>
    <t>:D:2:Assets.Short</t>
  </si>
  <si>
    <t>OpExp!Operating_Exp_Depts_Sales_OpExpType_Programs</t>
  </si>
  <si>
    <t>Revenue on a cash basis, segmented by location and time period. Includes product revenue, cash support revenue and cash contract revenue, excluding accruals of deferred revenue, net of sales returns.
Cash revenue drives marketing and selling expenses. Accruals of deferred revenue do not.</t>
  </si>
  <si>
    <t>ifm(Time&lt;=0.001, Cash_Initial-first(Short_Debt), prev(Cash)-prev(Short_Debt)+Revenue_Prod+0+0-Cost_of_Goods_n_Svcs-Operating_Exp-Dir_Labor_Unapplied_Prod-Financial_Exp-Income_Tax+Chg_Accts_Pay+Tagged_Asset_Salvage_CF+Chg_Long_Debt+0-prev(0)+Net_Stock_Issue-Chg_Accts_Rec-Chg_Inventory-Long_Asset_Purch-0-Dividend)</t>
  </si>
  <si>
    <t>:A:0:Net_Stock_Issue_short</t>
  </si>
  <si>
    <t>:A:-1:Net_Income</t>
  </si>
  <si>
    <t>:A:-1:Depts_plt</t>
  </si>
  <si>
    <t>Cash_Uses.Dividend</t>
  </si>
  <si>
    <t>Sales_Unit_Gr_Prod_Yr_Sc1x["Products.Product_2", "Sales_Locations.Location_1", DATE(2011,3,1)]|=2*E25-D25</t>
  </si>
  <si>
    <t>:A:0:Office_Space_per_Person</t>
  </si>
  <si>
    <t>Cash_No_Short_Debt+Short_Debt</t>
  </si>
  <si>
    <t>:D:2:Cash_Uses</t>
  </si>
  <si>
    <t>Long_Loans-prev(Long_Loans)</t>
  </si>
  <si>
    <t>Employee_Count1_K_off["Depts.Sales", "Job_Levels.Job_Level_1", DATE(2011,6,1)]|=if('(Tables)'!H148&lt;0.001+1/12, 0, if('(Tables)'!F172=0, 1, '(Tables)'!G172/'(Tables)'!F172)*H73)</t>
  </si>
  <si>
    <t>diminfo("Products", 7, ", ")</t>
  </si>
  <si>
    <t>:A:0:Cash_Targ_Days</t>
  </si>
  <si>
    <t>:D:2:Depts</t>
  </si>
  <si>
    <t>Inventory_FG_Units_Init["Products.Product_2"]|=0/2</t>
  </si>
  <si>
    <t>Short_Debt[DATE(2011,2,1)]|=max(0, '(Compute)'!D7-'(Tables)'!D244)</t>
  </si>
  <si>
    <t>Bad Debt %</t>
  </si>
  <si>
    <t>The ratio operating margin / revenue, by time period</t>
  </si>
  <si>
    <t>if(0*0=0, 0, 0/0*periods_per("year")/0)</t>
  </si>
  <si>
    <t>:D:0:Liabilities.Short</t>
  </si>
  <si>
    <t>:A:-1:Dir_Labor_Cost_per_U_Sup_Yr_In</t>
  </si>
  <si>
    <t>Dir_OH_Cost_per_U_Prod_In["Products.Product_1", DATE(2011,5,1)]|=G63*1</t>
  </si>
  <si>
    <t>Office_Utilities_Rate_Yr</t>
  </si>
  <si>
    <t>if(Sales_Units_RoundQ, round(0+if(1=1, Sales_Units_Prod_Sc1x, if(1=2, 0, if(1=3, 0, 0))), 0), 0+if(1=1, Sales_Units_Prod_Sc1x, if(1=2, 0, if(1=3, 0, 0))))</t>
  </si>
  <si>
    <t>:D:1:Depts</t>
  </si>
  <si>
    <t>:A:0:Assets</t>
  </si>
  <si>
    <t>(Ranges)'!Liabilities_Liabilities_Long_Long_Term_Loans</t>
  </si>
  <si>
    <t>Discount_Factor</t>
  </si>
  <si>
    <t>Dividend[DATE(2011,1,1)]|=0</t>
  </si>
  <si>
    <t>Accts_Pay_Type.Tax_Pay</t>
  </si>
  <si>
    <t>Indirect Labor'!Employee_Count_Depts_Marketing</t>
  </si>
  <si>
    <t>Display Label</t>
  </si>
  <si>
    <t>Growth rate of product revenue compared to the previous time period, segmented by product, by time period</t>
  </si>
  <si>
    <t>G&amp;A Exp Ratio</t>
  </si>
  <si>
    <t>The number of units of product produced, segmented by product, by time period. Production amounts are determined by unit sales, inventory targets, and current inventory levels</t>
  </si>
  <si>
    <t>(Ranges)'!Liabilities_Liabilities_Short_Deferred_Revenue</t>
  </si>
  <si>
    <t>Long_Loans[DATE(2010,12,1)]|=0</t>
  </si>
  <si>
    <t>Net_Stock_Issue[DATE(2011,5,1)]|=0</t>
  </si>
  <si>
    <t>Accts_Payable_Init["Accts_Pay_Type.Payroll_Pay"]|=0/3</t>
  </si>
  <si>
    <t>Chg Accts Pay</t>
  </si>
  <si>
    <t>Liabilities.Short.AcctsPay</t>
  </si>
  <si>
    <t>:A:0:Sales_Units_Prod</t>
  </si>
  <si>
    <t>Bad_Debt_pct[DATE(2011,4,1)]|=F140</t>
  </si>
  <si>
    <t>:A:-1:Cash_Targ_Days</t>
  </si>
  <si>
    <t>ifm(Time&lt;0.99, 0, if(Equity=0, 0, sum(ranget(Net_Income, date(year(current_date(1))-1, month(current_date(1)), day(current_date(1))+1), current_date(1)))/Equity))</t>
  </si>
  <si>
    <t>:A:0:Dir_Matl_Cost_per_U_Prod</t>
  </si>
  <si>
    <t>Organization</t>
  </si>
  <si>
    <t>prev(Discount_Factor)*(1+Discount_Rate)</t>
  </si>
  <si>
    <t>Inventory_FG_Targ_Days["Products.Product_2", DATE(2011,1,1)]|=30</t>
  </si>
  <si>
    <t>:D:1:Assets</t>
  </si>
  <si>
    <t>Employee_Count1_K_off["Depts.Marketing", "Job_Levels.Job_Level_2", DATE(2011,5,1)]|=if('(Tables)'!G148&lt;0.001+1/12, 0, if('(Tables)'!E172=0, 1, '(Tables)'!F172/'(Tables)'!E172)*G76)</t>
  </si>
  <si>
    <t>(Tables)'!Gross_Margin_Prod_Products_Product_2</t>
  </si>
  <si>
    <t>:D:-1:Assets</t>
  </si>
  <si>
    <t>:D:0:Cash_Sources.Net_Income</t>
  </si>
  <si>
    <t>Net_Income</t>
  </si>
  <si>
    <t>(Compute)'!Liabilities_Date</t>
  </si>
  <si>
    <t>Accts Payable Days</t>
  </si>
  <si>
    <t>A hierarchical list of the types of assets that are tracked separately in the plan</t>
  </si>
  <si>
    <t>:D:0:Cash_Sources</t>
  </si>
  <si>
    <t xml:space="preserve">  Indir_Labor_Exp</t>
  </si>
  <si>
    <t>Liability Type</t>
  </si>
  <si>
    <t>Change in accounts payable from the previous period. The model has a variable for this because (a) this amount will be displayed in the cash flow statement worksheet, and (b) this amount is used in several formulas so it is convenient to store it in a variable.</t>
  </si>
  <si>
    <t>:A:-1:Bad_Debt_pct</t>
  </si>
  <si>
    <t>Revenue_Prod_Growth_display</t>
  </si>
  <si>
    <t>:D:2:Cash_Sources</t>
  </si>
  <si>
    <t>Long_Loans[DATE(2011,3,1)]|=F218</t>
  </si>
  <si>
    <t>Interest Earned %/Yr</t>
  </si>
  <si>
    <t>Direct_Cost_Prod+0+0</t>
  </si>
  <si>
    <t>Price_Discount_pct_Prod["Products.Product_2", "Sales_Locations.Location_1", DATE(2011,5,1)]|=G38</t>
  </si>
  <si>
    <t>Financial Plan for a Business</t>
  </si>
  <si>
    <t>You can customize this template by filling in a simple form, without editing a spreadsheet.</t>
  </si>
  <si>
    <t>This is a small and somewhat simplified working sample of the template.</t>
  </si>
  <si>
    <r>
      <t xml:space="preserve">A </t>
    </r>
    <r>
      <rPr>
        <b/>
        <i/>
        <sz val="10"/>
        <rFont val="Arial"/>
        <family val="2"/>
      </rPr>
      <t>customized</t>
    </r>
    <r>
      <rPr>
        <b/>
        <sz val="10"/>
        <rFont val="Arial"/>
        <family val="2"/>
      </rPr>
      <t xml:space="preserve"> template</t>
    </r>
    <r>
      <rPr>
        <sz val="10"/>
        <rFont val="Arial"/>
        <family val="2"/>
      </rPr>
      <t xml:space="preserve"> is a flexible model that you can adapt to your situation by filling in a simple form, without editing a spreadsheet or its formulas. For example, you can specify time range and time grain; number and names of items in a dimension (such as your products and product families); and include or exclude major features. The resulting spreadsheet matches your needs better than any standard template.</t>
    </r>
  </si>
  <si>
    <t>Get a customized version of this template on our website.</t>
  </si>
  <si>
    <t>ModelSheet provides you with customized templates in three ways.</t>
  </si>
  <si>
    <t>1. Order a customized version of this template.</t>
  </si>
  <si>
    <t>Click "+" for more information.</t>
  </si>
  <si>
    <r>
      <rPr>
        <sz val="10"/>
        <rFont val="Times New Roman"/>
        <family val="1"/>
      </rPr>
      <t>•</t>
    </r>
    <r>
      <rPr>
        <sz val="10"/>
        <rFont val="Arial"/>
        <family val="2"/>
      </rPr>
      <t xml:space="preserve"> You can specify custom features by filling out a simple form. (Click on "+" for more information.)</t>
    </r>
  </si>
  <si>
    <t>Precise customizations vary from template to template. Examples:</t>
  </si>
  <si>
    <r>
      <rPr>
        <sz val="10"/>
        <rFont val="Calibri"/>
        <family val="2"/>
      </rPr>
      <t>−</t>
    </r>
    <r>
      <rPr>
        <sz val="10"/>
        <rFont val="Arial"/>
        <family val="2"/>
      </rPr>
      <t xml:space="preserve"> Specify the starting time, time range, time grain and rollup time grains (such as annual sums).</t>
    </r>
  </si>
  <si>
    <r>
      <rPr>
        <sz val="10"/>
        <rFont val="Times New Roman"/>
        <family val="1"/>
      </rPr>
      <t>−</t>
    </r>
    <r>
      <rPr>
        <sz val="10"/>
        <rFont val="Arial"/>
        <family val="2"/>
      </rPr>
      <t xml:space="preserve"> Specify the items in a dimension and levels of hierarchy (such as product families and products).</t>
    </r>
  </si>
  <si>
    <r>
      <rPr>
        <sz val="10"/>
        <rFont val="Times New Roman"/>
        <family val="1"/>
      </rPr>
      <t>−</t>
    </r>
    <r>
      <rPr>
        <sz val="10"/>
        <rFont val="Arial"/>
        <family val="2"/>
      </rPr>
      <t xml:space="preserve"> Include or exclude entire sub-models in the template.</t>
    </r>
  </si>
  <si>
    <r>
      <rPr>
        <sz val="10"/>
        <rFont val="Calibri"/>
        <family val="2"/>
      </rPr>
      <t>−</t>
    </r>
    <r>
      <rPr>
        <sz val="10"/>
        <rFont val="Arial"/>
        <family val="2"/>
      </rPr>
      <t xml:space="preserve"> These features </t>
    </r>
    <r>
      <rPr>
        <sz val="10"/>
        <rFont val="Arial"/>
        <family val="2"/>
      </rPr>
      <t>address the most serious problem with conventional spreadsheet templates: You can
   customize a template in many ways without having to interpret and edit numerous cell formulas.</t>
    </r>
  </si>
  <si>
    <r>
      <rPr>
        <sz val="10"/>
        <rFont val="Times New Roman"/>
        <family val="1"/>
      </rPr>
      <t>•</t>
    </r>
    <r>
      <rPr>
        <sz val="10"/>
        <rFont val="Arial"/>
        <family val="2"/>
      </rPr>
      <t xml:space="preserve"> You can edit many aspects of your Excel template after receiving it. (Click on "+" for more information.)</t>
    </r>
  </si>
  <si>
    <r>
      <rPr>
        <sz val="10"/>
        <rFont val="Times New Roman"/>
        <family val="1"/>
      </rPr>
      <t>−</t>
    </r>
    <r>
      <rPr>
        <sz val="10"/>
        <rFont val="Arial"/>
        <family val="2"/>
      </rPr>
      <t xml:space="preserve"> Edit input data in clearly marked input cells.</t>
    </r>
  </si>
  <si>
    <r>
      <rPr>
        <sz val="10"/>
        <rFont val="Times New Roman"/>
        <family val="1"/>
      </rPr>
      <t>−</t>
    </r>
    <r>
      <rPr>
        <sz val="10"/>
        <rFont val="Arial"/>
        <family val="2"/>
      </rPr>
      <t xml:space="preserve"> Edit the model start date of a template, so your template is not out of date when the start date changes.</t>
    </r>
  </si>
  <si>
    <r>
      <rPr>
        <sz val="10"/>
        <rFont val="Times New Roman"/>
        <family val="1"/>
      </rPr>
      <t>−</t>
    </r>
    <r>
      <rPr>
        <sz val="10"/>
        <rFont val="Arial"/>
        <family val="2"/>
      </rPr>
      <t xml:space="preserve"> Edit names of dimension items in once place (such as products, departments, expense accounts).</t>
    </r>
  </si>
  <si>
    <r>
      <rPr>
        <sz val="10"/>
        <rFont val="Times New Roman"/>
        <family val="1"/>
      </rPr>
      <t>•</t>
    </r>
    <r>
      <rPr>
        <sz val="10"/>
        <rFont val="Arial"/>
        <family val="2"/>
      </rPr>
      <t xml:space="preserve"> ModelSheet Excel templates are easier to understand. (Click on "+" for more information.)</t>
    </r>
  </si>
  <si>
    <r>
      <rPr>
        <sz val="10"/>
        <rFont val="Calibri"/>
        <family val="2"/>
      </rPr>
      <t>−</t>
    </r>
    <r>
      <rPr>
        <sz val="10"/>
        <rFont val="Arial"/>
        <family val="2"/>
      </rPr>
      <t xml:space="preserve"> Each table has an Excel comment that provides a variable name and explains the variable. </t>
    </r>
  </si>
  <si>
    <r>
      <rPr>
        <sz val="10"/>
        <rFont val="Times New Roman"/>
        <family val="1"/>
      </rPr>
      <t>−</t>
    </r>
    <r>
      <rPr>
        <sz val="10"/>
        <rFont val="Arial"/>
        <family val="2"/>
      </rPr>
      <t xml:space="preserve"> Worksheet "Formulas" expresses the entire model with named variables and symbolic formulas. Although
   the symbolic formulas are not executable in Excel, they are what the model is made from in ModelSheet.</t>
    </r>
  </si>
  <si>
    <t>− You never need to read inscrutable cell formulas to understand a ModelSheet customized template.</t>
  </si>
  <si>
    <t>Explore our customized templates.</t>
  </si>
  <si>
    <t>2. If you want more customizations, retain ModelSheet Software to build them for you.</t>
  </si>
  <si>
    <r>
      <rPr>
        <sz val="10"/>
        <rFont val="Times New Roman"/>
        <family val="1"/>
      </rPr>
      <t>•</t>
    </r>
    <r>
      <rPr>
        <sz val="10"/>
        <rFont val="Arial"/>
        <family val="2"/>
      </rPr>
      <t xml:space="preserve"> </t>
    </r>
    <r>
      <rPr>
        <sz val="10"/>
        <rFont val="Arial"/>
        <family val="2"/>
      </rPr>
      <t>Our staff has extensive experience in many areas of business and engineering analysis.</t>
    </r>
  </si>
  <si>
    <t>• ModelSheet technology enables us to offer you more value for your consulting dollar.</t>
  </si>
  <si>
    <t>Learn more about consulting services.</t>
  </si>
  <si>
    <t>3. Use the ModelSheet Authoring Environment to build and customize your spreadsheet models.</t>
  </si>
  <si>
    <t>The ModelSheet Authoring Environment is a SaaS application for developing and maintaining business models and delivering them in conventional spreadsheets.</t>
  </si>
  <si>
    <t>Click "+" to learn more about ModelSheet technology that makes customized template possible.</t>
  </si>
  <si>
    <t>This Excel workbook was generated using ModelSheet, a revolutionary new spreadsheet technology. ModelSheet allows you to develop business models using readable formulas, while avoiding the details of cell addresses and hard-to-change sheet layouts. The end result is a conventional Excel workbook just like this one. We built ModelSheet because we believe that spreadsheets are a great way of communicating results but we think it's just too hard to use them to develop reliable, maintainable, expressive and collaborative models.</t>
  </si>
  <si>
    <t>You'll get a glimpse of ModelSheet's advantages when you take a look at the "Formulas" tab and realize how few separate, readable formulas are needed to produce all of the other worksheets. In addition to formulas, ModelSheet knows about the "dimensions" in your model (e.g., products, locations, departments) as well as the time series that you're using (e.g., 5 years in quarters.) ModelSheet raises the level of thinking and acting from individual cells to natural modeling concepts. It enhances model reliabilty, auditability and maintainability; it enables you to build models that better reflect your intentions; it allows easier collaboration between modelers, developers, and report users; and it improves productivity, especially when making changes to a model.</t>
  </si>
  <si>
    <t>The ModelSheet authoring environment raises the level of thinking and acting from individual cells to natural modeling concepts like variables, dimensions, time series and accounting types. It enhances model reliabilty, auditability and maintainability; it enables you to build models that better reflect your intentions; it allows easier collaboration between modelers, developers, and report users; and it improves productivity, especially when making changes to a model.</t>
  </si>
  <si>
    <t>We have more to tell you about ModelSheet and we'd like to hear about your needs for templates and models.</t>
  </si>
  <si>
    <t>Please visit our website at www.modelsheetsoft.com</t>
  </si>
  <si>
    <t>or contact us at info@modelsheetsoft.com.</t>
  </si>
  <si>
    <t>Description of Financial Plan for a Business</t>
  </si>
  <si>
    <t xml:space="preserve">This workbook contains a financial plan for a business. The main reports are four financial statements: income statement, balance sheet, cash flow statement, and financial ratio report. </t>
  </si>
  <si>
    <t>The model contains detailed backup information in many sectors. Not all of these options are available in the Light and Standard versions.</t>
  </si>
  <si>
    <r>
      <t xml:space="preserve">• </t>
    </r>
    <r>
      <rPr>
        <u/>
        <sz val="10"/>
        <rFont val="Arial"/>
        <family val="2"/>
      </rPr>
      <t>Sales model</t>
    </r>
    <r>
      <rPr>
        <sz val="10"/>
        <rFont val="Arial"/>
        <family val="2"/>
      </rPr>
      <t>: revenue and sales units segmented by products &amp; product families, and by geographic locations.</t>
    </r>
  </si>
  <si>
    <t>−  Optional annual product support for each product. Optional deferral of revenue and expense during
    the support term.</t>
  </si>
  <si>
    <t>−  Optional scenarios: You can specify three scenarios (typically low, medium, high) for sales.</t>
  </si>
  <si>
    <t>−  Optional sales funnel: Includes qualified leads of varying quality, order backlog, and conversion rates.</t>
  </si>
  <si>
    <t>−  Optional contracts that are independent of products and product support. Optional deferral  and accrual
    of revenue during the life of each contract.</t>
  </si>
  <si>
    <r>
      <t xml:space="preserve">• </t>
    </r>
    <r>
      <rPr>
        <u/>
        <sz val="10"/>
        <rFont val="Arial"/>
        <family val="2"/>
      </rPr>
      <t>Production model</t>
    </r>
    <r>
      <rPr>
        <sz val="10"/>
        <rFont val="Arial"/>
        <family val="2"/>
      </rPr>
      <t>: computes production units and cost of goods based on projected sales and desired
  inventory levels. Cost of goods is composed of direct material, direct labor, and purchased services.
  Includes several optional features:</t>
    </r>
  </si>
  <si>
    <t>− Tracks several types of direct labor, with $/hour, hours/prouction unit.</t>
  </si>
  <si>
    <t>− Tracks direct labor headcount, labor utilization, and overtime. You can set headcount directly, or specify 
   a target labor utilzation and let the model compute the headcount.</t>
  </si>
  <si>
    <t>− Production "learning curve" cost reductions that optionally lower prices</t>
  </si>
  <si>
    <r>
      <t xml:space="preserve">• </t>
    </r>
    <r>
      <rPr>
        <u/>
        <sz val="10"/>
        <rFont val="Arial"/>
        <family val="2"/>
      </rPr>
      <t>Operating expense model</t>
    </r>
    <r>
      <rPr>
        <sz val="10"/>
        <rFont val="Arial"/>
        <family val="2"/>
      </rPr>
      <t xml:space="preserve">: tracks indirect labor expense, facilities expense, admin and other expenses.
  You explicitly specify expenses in the early quarters. </t>
    </r>
  </si>
  <si>
    <t xml:space="preserve">− Optional: Computes later direct labor headcount and expense with Cobb-Douglas formulas of the form
   Headcount or Expense = Constant * Revenue ^ Exponent. </t>
  </si>
  <si>
    <r>
      <t xml:space="preserve">• </t>
    </r>
    <r>
      <rPr>
        <u/>
        <sz val="10"/>
        <rFont val="Arial"/>
        <family val="2"/>
      </rPr>
      <t>Financial expense and tax model</t>
    </r>
    <r>
      <rPr>
        <sz val="10"/>
        <rFont val="Arial"/>
        <family val="2"/>
      </rPr>
      <t>: short and long-term debt and interest rates, interest on cash balances,
  income tax rates and tax loss carried forward.</t>
    </r>
  </si>
  <si>
    <r>
      <t xml:space="preserve">• </t>
    </r>
    <r>
      <rPr>
        <u/>
        <sz val="10"/>
        <rFont val="Arial"/>
        <family val="2"/>
      </rPr>
      <t>Asset model</t>
    </r>
    <r>
      <rPr>
        <sz val="10"/>
        <rFont val="Arial"/>
        <family val="2"/>
      </rPr>
      <t xml:space="preserve">: includes cash, accounts receivable, inventory units and value (LIFO accounting) by product,
  debt, asset purchases and depreciation. </t>
    </r>
  </si>
  <si>
    <r>
      <t xml:space="preserve">• </t>
    </r>
    <r>
      <rPr>
        <u/>
        <sz val="10"/>
        <rFont val="Arial"/>
        <family val="2"/>
      </rPr>
      <t>Liability model</t>
    </r>
    <r>
      <rPr>
        <sz val="10"/>
        <rFont val="Arial"/>
        <family val="2"/>
      </rPr>
      <t>: includes accounts payable, short-term debt, leases, long-term loans, and bonds.</t>
    </r>
  </si>
  <si>
    <r>
      <t xml:space="preserve">• </t>
    </r>
    <r>
      <rPr>
        <u/>
        <sz val="10"/>
        <rFont val="Arial"/>
        <family val="2"/>
      </rPr>
      <t>Equity model</t>
    </r>
    <r>
      <rPr>
        <sz val="10"/>
        <rFont val="Arial"/>
        <family val="2"/>
      </rPr>
      <t>: includes paid-in capital, retained earnings, dividends, and internal rate of return.</t>
    </r>
  </si>
  <si>
    <r>
      <t xml:space="preserve">• </t>
    </r>
    <r>
      <rPr>
        <u/>
        <sz val="10"/>
        <rFont val="Arial"/>
        <family val="2"/>
      </rPr>
      <t>Valuation model</t>
    </r>
    <r>
      <rPr>
        <sz val="10"/>
        <rFont val="Arial"/>
        <family val="2"/>
      </rPr>
      <t>: values the business based on the present value of future net income, including a simple
   income model after the end of model time.</t>
    </r>
  </si>
  <si>
    <t>The model includes these software features.</t>
  </si>
  <si>
    <r>
      <rPr>
        <sz val="10"/>
        <rFont val="Times New Roman"/>
        <family val="1"/>
      </rPr>
      <t>•</t>
    </r>
    <r>
      <rPr>
        <sz val="10"/>
        <rFont val="Arial"/>
        <family val="2"/>
      </rPr>
      <t xml:space="preserve"> Time grains in most reports change over time: quarters with annual sums at early times and years later.</t>
    </r>
  </si>
  <si>
    <t>• Excel graphs of key variables. These graphs are integrated into the ModelSheet model from which they get
   their source data. You can add more graphs, and optionally import them into ModelSheet.</t>
  </si>
  <si>
    <t>This model containas "Features" that can be separately turned on or off in ModelSheet. Not all of these features are avaiable in the Light or Basic versions of this template.</t>
  </si>
  <si>
    <t>• Three scenarios for low, medium, and high revenue</t>
  </si>
  <si>
    <t>• Sales returns and associated expenses</t>
  </si>
  <si>
    <r>
      <rPr>
        <sz val="10"/>
        <rFont val="Times New Roman"/>
        <family val="1"/>
      </rPr>
      <t>•</t>
    </r>
    <r>
      <rPr>
        <sz val="10"/>
        <rFont val="Arial"/>
        <family val="2"/>
      </rPr>
      <t xml:space="preserve"> Advanced methods for using revenue to drive heacount and various expenses that include scale effects</t>
    </r>
  </si>
  <si>
    <t>• Annuity bonds with sale date, face value, interest rate, and balloon payments</t>
  </si>
  <si>
    <t>• Tagged long-term assets with various depreciation methods (for major assets), and untagged long-term assets</t>
  </si>
  <si>
    <r>
      <rPr>
        <sz val="10"/>
        <rFont val="Times New Roman"/>
        <family val="1"/>
      </rPr>
      <t>•</t>
    </r>
    <r>
      <rPr>
        <sz val="10"/>
        <rFont val="Arial"/>
        <family val="2"/>
      </rPr>
      <t xml:space="preserve"> Valuation of the company based on its cash flows, including a "tail" cash flow beyond the end of model time,
  using a specified discount rate, or one computed by the Capital Asset Pricing Model</t>
    </r>
  </si>
  <si>
    <r>
      <rPr>
        <sz val="10"/>
        <rFont val="Times New Roman"/>
        <family val="1"/>
      </rPr>
      <t>•</t>
    </r>
    <r>
      <rPr>
        <sz val="10"/>
        <rFont val="Arial"/>
        <family val="2"/>
      </rPr>
      <t xml:space="preserve"> Computation of an internal rate of return (IRR)</t>
    </r>
  </si>
  <si>
    <t>Technical Notes</t>
  </si>
  <si>
    <t>Depreciation of long-term assets</t>
  </si>
  <si>
    <t>The model includes three kinds of long-term assets.</t>
  </si>
  <si>
    <r>
      <rPr>
        <sz val="10"/>
        <rFont val="Times New Roman"/>
        <family val="1"/>
      </rPr>
      <t>•</t>
    </r>
    <r>
      <rPr>
        <sz val="10"/>
        <rFont val="Arial"/>
        <family val="2"/>
      </rPr>
      <t xml:space="preserve"> Tagged assets are major assets that are individually tracked for depreciation purposes. Each asset has
  a name, initial value, purchase date, depreciation life, salvage value, and its own depreciation schedule.</t>
    </r>
  </si>
  <si>
    <r>
      <rPr>
        <sz val="10"/>
        <rFont val="Times New Roman"/>
        <family val="1"/>
      </rPr>
      <t>•</t>
    </r>
    <r>
      <rPr>
        <sz val="10"/>
        <rFont val="Arial"/>
        <family val="2"/>
      </rPr>
      <t xml:space="preserve"> Untagged assets are smaller more numerous assets, such as a personal computer or desk for each employee.
  These assets are grouped into asset types (hardware, software and equipment/furniture).
  Depreciation is computed for each asset type using a continuous declining balance formula that goes to zero in
  the last time period of asset life. </t>
    </r>
  </si>
  <si>
    <r>
      <rPr>
        <sz val="10"/>
        <rFont val="Times New Roman"/>
        <family val="1"/>
      </rPr>
      <t>•</t>
    </r>
    <r>
      <rPr>
        <sz val="10"/>
        <rFont val="Arial"/>
        <family val="2"/>
      </rPr>
      <t xml:space="preserve"> Capitalized product development.</t>
    </r>
  </si>
  <si>
    <t>Internal rate of return</t>
  </si>
  <si>
    <t>The internal rate of return is computed using the adjusted cash flow, augmented  by the negative of equity value at the start of the model time range, and optionally including the tail valuation beyond the end of the model time range.</t>
  </si>
  <si>
    <t>If this Spreadsheet Solution lacks some of the features you need…</t>
  </si>
  <si>
    <t>We offer custom development services to add features you want to our spreadsheet solutions, and to build new solutions from scratch. For more information about our consulting services, see:</t>
  </si>
  <si>
    <t>http://www.modelsheetsoft.com/consulting-business-analysis.aspx</t>
  </si>
  <si>
    <t>To discuss your specific needs, please contact us at:</t>
  </si>
  <si>
    <t>info@modelsheetsoft.com.</t>
  </si>
  <si>
    <t>This Excel workbook was generated by ModelSheet on February 8, 2010, except for this worksheet of comments.</t>
  </si>
  <si>
    <t>Copyright © 2009, 2010, 2011 ModelSheet Software, LLC</t>
  </si>
  <si>
    <t>ModelSheet and the ModelSheet logo are registered trademarks of ModelSheet Software, LLC.</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</si>
</sst>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quot;$&quot;#,##0_);[Red]\(&quot;$&quot;#,##0\)"/>
    <numFmt numFmtId="165" formatCode="&quot;$&quot;#,##0.00_);[Red]\(&quot;$&quot;#,##0.00\)"/>
    <numFmt numFmtId="166" formatCode="&quot;$&quot;#,##0.000_);[Red]\(&quot;$&quot;#,##0.000\)"/>
    <numFmt numFmtId="167" formatCode="#,##0.0%"/>
    <numFmt numFmtId="168" formatCode="#,##0%"/>
    <numFmt numFmtId="169" formatCode="#,##0.0"/>
    <numFmt numFmtId="170" formatCode="#,##0.000"/>
    <numFmt numFmtId="171" formatCode="m\/d\/yyyy"/>
    <numFmt numFmtId="172" formatCode="#,##0.00%"/>
    <numFmt numFmtId="173" formatCode="&quot;$&quot;#,##0.0_);[Red]\(&quot;$&quot;#,##0.0\)"/>
  </numFmts>
  <fonts count="42" x14ac:knownFonts="1">
    <font>
      <sz val="10"/>
      <name val="Arial"/>
      <family val="2"/>
    </font>
    <font>
      <sz val="10"/>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b/>
      <i/>
      <sz val="8"/>
      <color indexed="8"/>
      <name val="Arial"/>
      <family val="2"/>
    </font>
    <font>
      <i/>
      <sz val="8"/>
      <color indexed="8"/>
      <name val="Arial"/>
      <family val="2"/>
    </font>
    <font>
      <sz val="8"/>
      <color indexed="8"/>
      <name val="Arial"/>
      <family val="2"/>
    </font>
    <font>
      <b/>
      <sz val="8"/>
      <color indexed="8"/>
      <name val="Arial"/>
      <family val="2"/>
    </font>
    <font>
      <b/>
      <sz val="10"/>
      <color indexed="8"/>
      <name val="Arial"/>
      <family val="2"/>
    </font>
    <font>
      <sz val="8"/>
      <color indexed="8"/>
      <name val="Arial"/>
      <family val="2"/>
    </font>
    <font>
      <b/>
      <sz val="8"/>
      <color indexed="8"/>
      <name val="Arial"/>
      <family val="2"/>
    </font>
    <font>
      <b/>
      <u/>
      <sz val="9"/>
      <color indexed="8"/>
      <name val="Arial"/>
      <family val="2"/>
    </font>
    <font>
      <b/>
      <i/>
      <sz val="8"/>
      <color indexed="8"/>
      <name val="Arial"/>
      <family val="2"/>
    </font>
    <font>
      <i/>
      <sz val="8"/>
      <color indexed="8"/>
      <name val="Arial"/>
      <family val="2"/>
    </font>
    <font>
      <b/>
      <sz val="8"/>
      <name val="Arial"/>
      <family val="2"/>
    </font>
    <font>
      <b/>
      <sz val="12"/>
      <name val="Arial"/>
      <family val="2"/>
    </font>
    <font>
      <b/>
      <sz val="14"/>
      <name val="Arial"/>
      <family val="2"/>
    </font>
    <font>
      <b/>
      <i/>
      <sz val="10"/>
      <name val="Arial"/>
      <family val="2"/>
    </font>
    <font>
      <b/>
      <sz val="10"/>
      <name val="Arial"/>
      <family val="2"/>
    </font>
    <font>
      <b/>
      <sz val="11"/>
      <name val="Arial"/>
      <family val="2"/>
    </font>
    <font>
      <sz val="10"/>
      <name val="Times New Roman"/>
      <family val="1"/>
    </font>
    <font>
      <sz val="10"/>
      <name val="Calibri"/>
      <family val="2"/>
    </font>
    <font>
      <u/>
      <sz val="10"/>
      <name val="Arial"/>
      <family val="2"/>
    </font>
    <font>
      <i/>
      <sz val="10"/>
      <name val="Arial"/>
      <family val="2"/>
    </font>
    <font>
      <b/>
      <sz val="11"/>
      <color rgb="FFFF0000"/>
      <name val="Arial"/>
      <family val="2"/>
    </font>
    <font>
      <sz val="10"/>
      <color rgb="FFFF0000"/>
      <name val="Arial"/>
      <family val="2"/>
    </font>
    <font>
      <u/>
      <sz val="10"/>
      <color theme="10"/>
      <name val="Arial"/>
      <family val="2"/>
    </font>
  </fonts>
  <fills count="17">
    <fill>
      <patternFill patternType="none"/>
    </fill>
    <fill>
      <patternFill patternType="gray125"/>
    </fill>
    <fill>
      <patternFill patternType="solid">
        <fgColor indexed="28"/>
        <bgColor indexed="64"/>
      </patternFill>
    </fill>
    <fill>
      <patternFill patternType="solid">
        <fgColor indexed="47"/>
        <bgColor indexed="64"/>
      </patternFill>
    </fill>
    <fill>
      <patternFill patternType="solid">
        <fgColor indexed="43"/>
        <bgColor indexed="64"/>
      </patternFill>
    </fill>
    <fill>
      <patternFill patternType="solid">
        <fgColor indexed="31"/>
        <bgColor indexed="64"/>
      </patternFill>
    </fill>
    <fill>
      <patternFill patternType="solid">
        <fgColor indexed="22"/>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29"/>
        <bgColor indexed="64"/>
      </patternFill>
    </fill>
    <fill>
      <patternFill patternType="solid">
        <fgColor indexed="55"/>
        <bgColor indexed="64"/>
      </patternFill>
    </fill>
    <fill>
      <patternFill patternType="solid">
        <fgColor indexed="9"/>
        <bgColor indexed="64"/>
      </patternFill>
    </fill>
    <fill>
      <patternFill patternType="solid">
        <fgColor indexed="27"/>
        <bgColor indexed="64"/>
      </patternFill>
    </fill>
    <fill>
      <patternFill patternType="solid">
        <fgColor rgb="FFCCCCFF"/>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8"/>
      </bottom>
      <diagonal/>
    </border>
    <border>
      <left/>
      <right/>
      <top/>
      <bottom style="medium">
        <color indexed="28"/>
      </bottom>
      <diagonal/>
    </border>
    <border>
      <left/>
      <right/>
      <top/>
      <bottom style="double">
        <color indexed="5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9"/>
      </left>
      <right style="thin">
        <color indexed="9"/>
      </right>
      <top style="thin">
        <color indexed="9"/>
      </top>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theme="0"/>
      </left>
      <right style="thin">
        <color theme="0"/>
      </right>
      <top style="thin">
        <color theme="0"/>
      </top>
      <bottom style="thin">
        <color theme="0"/>
      </bottom>
      <diagonal/>
    </border>
  </borders>
  <cellStyleXfs count="511">
    <xf numFmtId="0" fontId="0" fillId="0" borderId="0">
      <alignment vertical="center"/>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6"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6"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7" borderId="0" applyNumberFormat="0" applyBorder="0" applyAlignment="0" applyProtection="0"/>
    <xf numFmtId="0" fontId="17" fillId="11" borderId="0" applyNumberFormat="0" applyBorder="0" applyAlignment="0" applyProtection="0"/>
    <xf numFmtId="0" fontId="7" fillId="12" borderId="0" applyNumberFormat="0" applyBorder="0" applyAlignment="0" applyProtection="0"/>
    <xf numFmtId="0" fontId="11" fillId="5" borderId="1" applyNumberFormat="0" applyAlignment="0" applyProtection="0"/>
    <xf numFmtId="0" fontId="13" fillId="13" borderId="2" applyNumberFormat="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3" applyNumberFormat="0" applyFill="0" applyAlignment="0" applyProtection="0"/>
    <xf numFmtId="0" fontId="4" fillId="0" borderId="4" applyNumberFormat="0" applyFill="0" applyAlignment="0" applyProtection="0"/>
    <xf numFmtId="0" fontId="5" fillId="0" borderId="5" applyNumberFormat="0" applyFill="0" applyAlignment="0" applyProtection="0"/>
    <xf numFmtId="0" fontId="5" fillId="0" borderId="0" applyNumberFormat="0" applyFill="0" applyBorder="0" applyAlignment="0" applyProtection="0"/>
    <xf numFmtId="0" fontId="41" fillId="0" borderId="0" applyNumberFormat="0" applyFill="0" applyBorder="0" applyAlignment="0" applyProtection="0">
      <alignment vertical="top"/>
      <protection locked="0"/>
    </xf>
    <xf numFmtId="0" fontId="9" fillId="3" borderId="1" applyNumberFormat="0" applyAlignment="0" applyProtection="0"/>
    <xf numFmtId="0" fontId="12" fillId="0" borderId="6" applyNumberFormat="0" applyFill="0" applyAlignment="0" applyProtection="0"/>
    <xf numFmtId="0" fontId="23" fillId="14" borderId="0" applyBorder="0">
      <alignment vertical="top" shrinkToFit="1"/>
    </xf>
    <xf numFmtId="0" fontId="24" fillId="14" borderId="0" applyBorder="0">
      <alignment vertical="top" shrinkToFit="1"/>
    </xf>
    <xf numFmtId="0" fontId="25" fillId="14" borderId="7">
      <alignment vertical="top" shrinkToFit="1"/>
    </xf>
    <xf numFmtId="0" fontId="25" fillId="14" borderId="8">
      <alignment vertical="top" shrinkToFit="1"/>
    </xf>
    <xf numFmtId="0" fontId="25" fillId="14" borderId="9">
      <alignment vertical="top" shrinkToFit="1"/>
    </xf>
    <xf numFmtId="0" fontId="25" fillId="15" borderId="10">
      <alignment horizontal="left" vertical="top" shrinkToFit="1"/>
      <protection locked="0"/>
    </xf>
    <xf numFmtId="0" fontId="26" fillId="14" borderId="0" applyBorder="0">
      <alignment vertical="top" shrinkToFit="1"/>
    </xf>
    <xf numFmtId="0" fontId="25" fillId="14" borderId="0" applyBorder="0">
      <alignment vertical="top" shrinkToFit="1"/>
    </xf>
    <xf numFmtId="0" fontId="25" fillId="15" borderId="10">
      <alignment horizontal="left" vertical="top" shrinkToFit="1"/>
      <protection locked="0"/>
    </xf>
    <xf numFmtId="0" fontId="25" fillId="14" borderId="7">
      <alignment horizontal="center" vertical="top" shrinkToFit="1"/>
    </xf>
    <xf numFmtId="0" fontId="25" fillId="14" borderId="8">
      <alignment horizontal="center" vertical="top" shrinkToFit="1"/>
    </xf>
    <xf numFmtId="0" fontId="25" fillId="14" borderId="9">
      <alignment horizontal="center" vertical="top" shrinkToFit="1"/>
    </xf>
    <xf numFmtId="0" fontId="25" fillId="14" borderId="11">
      <alignment vertical="top" shrinkToFit="1"/>
    </xf>
    <xf numFmtId="0" fontId="27" fillId="14" borderId="12">
      <alignment vertical="top" shrinkToFit="1"/>
    </xf>
    <xf numFmtId="0" fontId="28" fillId="14" borderId="13">
      <alignment vertical="top" shrinkToFit="1"/>
    </xf>
    <xf numFmtId="3" fontId="24" fillId="15" borderId="12">
      <alignment horizontal="right" vertical="top" shrinkToFit="1"/>
      <protection locked="0"/>
    </xf>
    <xf numFmtId="3" fontId="24" fillId="15" borderId="13">
      <alignment horizontal="right" vertical="top" shrinkToFit="1"/>
      <protection locked="0"/>
    </xf>
    <xf numFmtId="0" fontId="25" fillId="14" borderId="14">
      <alignment vertical="top" shrinkToFit="1"/>
    </xf>
    <xf numFmtId="0" fontId="27" fillId="14" borderId="0" applyBorder="0">
      <alignment vertical="top" shrinkToFit="1"/>
    </xf>
    <xf numFmtId="0" fontId="28" fillId="14" borderId="15">
      <alignment vertical="top" shrinkToFit="1"/>
    </xf>
    <xf numFmtId="3" fontId="24" fillId="15" borderId="0" applyBorder="0">
      <alignment horizontal="right" vertical="top" shrinkToFit="1"/>
      <protection locked="0"/>
    </xf>
    <xf numFmtId="3" fontId="24" fillId="15" borderId="15">
      <alignment horizontal="right" vertical="top" shrinkToFit="1"/>
      <protection locked="0"/>
    </xf>
    <xf numFmtId="167" fontId="24" fillId="15" borderId="0" applyBorder="0">
      <alignment horizontal="right" vertical="top" shrinkToFit="1"/>
      <protection locked="0"/>
    </xf>
    <xf numFmtId="167" fontId="24" fillId="15" borderId="15">
      <alignment horizontal="right" vertical="top" shrinkToFit="1"/>
      <protection locked="0"/>
    </xf>
    <xf numFmtId="0" fontId="25" fillId="14" borderId="16">
      <alignment vertical="top" shrinkToFit="1"/>
    </xf>
    <xf numFmtId="0" fontId="27" fillId="14" borderId="17">
      <alignment vertical="top" shrinkToFit="1"/>
    </xf>
    <xf numFmtId="0" fontId="28" fillId="14" borderId="18">
      <alignment vertical="top" shrinkToFit="1"/>
    </xf>
    <xf numFmtId="167" fontId="24" fillId="15" borderId="17">
      <alignment horizontal="right" vertical="top" shrinkToFit="1"/>
      <protection locked="0"/>
    </xf>
    <xf numFmtId="167" fontId="24" fillId="15" borderId="18">
      <alignment horizontal="right" vertical="top" shrinkToFit="1"/>
      <protection locked="0"/>
    </xf>
    <xf numFmtId="0" fontId="27" fillId="14" borderId="13">
      <alignment vertical="top" shrinkToFit="1"/>
    </xf>
    <xf numFmtId="166" fontId="27" fillId="15" borderId="12">
      <alignment horizontal="right" vertical="top" shrinkToFit="1"/>
      <protection locked="0"/>
    </xf>
    <xf numFmtId="166" fontId="27" fillId="15" borderId="13">
      <alignment horizontal="right" vertical="top" shrinkToFit="1"/>
      <protection locked="0"/>
    </xf>
    <xf numFmtId="0" fontId="27" fillId="14" borderId="15">
      <alignment vertical="top" shrinkToFit="1"/>
    </xf>
    <xf numFmtId="166" fontId="27" fillId="15" borderId="0" applyBorder="0">
      <alignment horizontal="right" vertical="top" shrinkToFit="1"/>
      <protection locked="0"/>
    </xf>
    <xf numFmtId="166" fontId="27" fillId="15" borderId="15">
      <alignment horizontal="right" vertical="top" shrinkToFit="1"/>
      <protection locked="0"/>
    </xf>
    <xf numFmtId="170" fontId="27" fillId="14" borderId="12">
      <alignment horizontal="right" vertical="top" shrinkToFit="1"/>
    </xf>
    <xf numFmtId="170" fontId="27" fillId="15" borderId="12">
      <alignment horizontal="right" vertical="top" shrinkToFit="1"/>
      <protection locked="0"/>
    </xf>
    <xf numFmtId="170" fontId="27" fillId="15" borderId="13">
      <alignment horizontal="right" vertical="top" shrinkToFit="1"/>
      <protection locked="0"/>
    </xf>
    <xf numFmtId="170" fontId="27" fillId="14" borderId="0" applyBorder="0">
      <alignment horizontal="right" vertical="top" shrinkToFit="1"/>
    </xf>
    <xf numFmtId="170" fontId="27" fillId="15" borderId="0" applyBorder="0">
      <alignment horizontal="right" vertical="top" shrinkToFit="1"/>
      <protection locked="0"/>
    </xf>
    <xf numFmtId="170" fontId="27" fillId="15" borderId="15">
      <alignment horizontal="right" vertical="top" shrinkToFit="1"/>
      <protection locked="0"/>
    </xf>
    <xf numFmtId="0" fontId="25" fillId="14" borderId="17">
      <alignment vertical="top" shrinkToFit="1"/>
    </xf>
    <xf numFmtId="0" fontId="25" fillId="14" borderId="18">
      <alignment vertical="top" shrinkToFit="1"/>
    </xf>
    <xf numFmtId="166" fontId="25" fillId="15" borderId="17">
      <alignment horizontal="right" vertical="top" shrinkToFit="1"/>
      <protection locked="0"/>
    </xf>
    <xf numFmtId="166" fontId="25" fillId="15" borderId="18">
      <alignment horizontal="right" vertical="top" shrinkToFit="1"/>
      <protection locked="0"/>
    </xf>
    <xf numFmtId="0" fontId="27" fillId="14" borderId="18">
      <alignment vertical="top" shrinkToFit="1"/>
    </xf>
    <xf numFmtId="166" fontId="27" fillId="15" borderId="17">
      <alignment horizontal="right" vertical="top" shrinkToFit="1"/>
      <protection locked="0"/>
    </xf>
    <xf numFmtId="166" fontId="27" fillId="15" borderId="18">
      <alignment horizontal="right" vertical="top" shrinkToFit="1"/>
      <protection locked="0"/>
    </xf>
    <xf numFmtId="4" fontId="24" fillId="15" borderId="12">
      <alignment horizontal="right" vertical="top" shrinkToFit="1"/>
      <protection locked="0"/>
    </xf>
    <xf numFmtId="4" fontId="24" fillId="15" borderId="13">
      <alignment horizontal="right" vertical="top" shrinkToFit="1"/>
      <protection locked="0"/>
    </xf>
    <xf numFmtId="4" fontId="24" fillId="15" borderId="0" applyBorder="0">
      <alignment horizontal="right" vertical="top" shrinkToFit="1"/>
      <protection locked="0"/>
    </xf>
    <xf numFmtId="4" fontId="24" fillId="15" borderId="15">
      <alignment horizontal="right" vertical="top" shrinkToFit="1"/>
      <protection locked="0"/>
    </xf>
    <xf numFmtId="4" fontId="24" fillId="15" borderId="17">
      <alignment horizontal="right" vertical="top" shrinkToFit="1"/>
      <protection locked="0"/>
    </xf>
    <xf numFmtId="4" fontId="24" fillId="15" borderId="18">
      <alignment horizontal="right" vertical="top" shrinkToFit="1"/>
      <protection locked="0"/>
    </xf>
    <xf numFmtId="165" fontId="27" fillId="15" borderId="12">
      <alignment horizontal="right" vertical="top" shrinkToFit="1"/>
      <protection locked="0"/>
    </xf>
    <xf numFmtId="165" fontId="27" fillId="15" borderId="13">
      <alignment horizontal="right" vertical="top" shrinkToFit="1"/>
      <protection locked="0"/>
    </xf>
    <xf numFmtId="165" fontId="27" fillId="15" borderId="17">
      <alignment horizontal="right" vertical="top" shrinkToFit="1"/>
      <protection locked="0"/>
    </xf>
    <xf numFmtId="165" fontId="27" fillId="15" borderId="18">
      <alignment horizontal="right" vertical="top" shrinkToFit="1"/>
      <protection locked="0"/>
    </xf>
    <xf numFmtId="167" fontId="25" fillId="15" borderId="8">
      <alignment horizontal="right" vertical="top" shrinkToFit="1"/>
      <protection locked="0"/>
    </xf>
    <xf numFmtId="167" fontId="25" fillId="15" borderId="9">
      <alignment horizontal="right" vertical="top" shrinkToFit="1"/>
      <protection locked="0"/>
    </xf>
    <xf numFmtId="167" fontId="24" fillId="15" borderId="12">
      <alignment horizontal="right" vertical="top" shrinkToFit="1"/>
      <protection locked="0"/>
    </xf>
    <xf numFmtId="167" fontId="24" fillId="15" borderId="13">
      <alignment horizontal="right" vertical="top" shrinkToFit="1"/>
      <protection locked="0"/>
    </xf>
    <xf numFmtId="0" fontId="25" fillId="14" borderId="12">
      <alignment vertical="top" shrinkToFit="1"/>
    </xf>
    <xf numFmtId="0" fontId="25" fillId="14" borderId="13">
      <alignment vertical="top" shrinkToFit="1"/>
    </xf>
    <xf numFmtId="167" fontId="25" fillId="15" borderId="12">
      <alignment horizontal="right" vertical="top" shrinkToFit="1"/>
      <protection locked="0"/>
    </xf>
    <xf numFmtId="167" fontId="25" fillId="15" borderId="13">
      <alignment horizontal="right" vertical="top" shrinkToFit="1"/>
      <protection locked="0"/>
    </xf>
    <xf numFmtId="167" fontId="25" fillId="15" borderId="17">
      <alignment horizontal="right" vertical="top" shrinkToFit="1"/>
      <protection locked="0"/>
    </xf>
    <xf numFmtId="167" fontId="25" fillId="15" borderId="18">
      <alignment horizontal="right" vertical="top" shrinkToFit="1"/>
      <protection locked="0"/>
    </xf>
    <xf numFmtId="170" fontId="25" fillId="15" borderId="12">
      <alignment horizontal="right" vertical="top" shrinkToFit="1"/>
      <protection locked="0"/>
    </xf>
    <xf numFmtId="170" fontId="25" fillId="15" borderId="13">
      <alignment horizontal="right" vertical="top" shrinkToFit="1"/>
      <protection locked="0"/>
    </xf>
    <xf numFmtId="0" fontId="25" fillId="14" borderId="15">
      <alignment vertical="top" shrinkToFit="1"/>
    </xf>
    <xf numFmtId="165" fontId="25" fillId="15" borderId="0" applyBorder="0">
      <alignment horizontal="right" vertical="top" shrinkToFit="1"/>
      <protection locked="0"/>
    </xf>
    <xf numFmtId="165" fontId="25" fillId="15" borderId="15">
      <alignment horizontal="right" vertical="top" shrinkToFit="1"/>
      <protection locked="0"/>
    </xf>
    <xf numFmtId="166" fontId="25" fillId="15" borderId="0" applyBorder="0">
      <alignment horizontal="right" vertical="top" shrinkToFit="1"/>
      <protection locked="0"/>
    </xf>
    <xf numFmtId="166" fontId="25" fillId="15" borderId="15">
      <alignment horizontal="right" vertical="top" shrinkToFit="1"/>
      <protection locked="0"/>
    </xf>
    <xf numFmtId="164" fontId="25" fillId="15" borderId="17">
      <alignment horizontal="right" vertical="top" shrinkToFit="1"/>
      <protection locked="0"/>
    </xf>
    <xf numFmtId="164" fontId="25" fillId="15" borderId="18">
      <alignment horizontal="right" vertical="top" shrinkToFit="1"/>
      <protection locked="0"/>
    </xf>
    <xf numFmtId="164" fontId="24" fillId="15" borderId="12">
      <alignment horizontal="right" vertical="top" shrinkToFit="1"/>
      <protection locked="0"/>
    </xf>
    <xf numFmtId="164" fontId="24" fillId="15" borderId="13">
      <alignment horizontal="right" vertical="top" shrinkToFit="1"/>
      <protection locked="0"/>
    </xf>
    <xf numFmtId="164" fontId="24" fillId="15" borderId="17">
      <alignment horizontal="right" vertical="top" shrinkToFit="1"/>
      <protection locked="0"/>
    </xf>
    <xf numFmtId="164" fontId="24" fillId="15" borderId="18">
      <alignment horizontal="right" vertical="top" shrinkToFit="1"/>
      <protection locked="0"/>
    </xf>
    <xf numFmtId="166" fontId="24" fillId="15" borderId="12">
      <alignment horizontal="right" vertical="top" shrinkToFit="1"/>
      <protection locked="0"/>
    </xf>
    <xf numFmtId="166" fontId="24" fillId="15" borderId="13">
      <alignment horizontal="right" vertical="top" shrinkToFit="1"/>
      <protection locked="0"/>
    </xf>
    <xf numFmtId="166" fontId="24" fillId="15" borderId="0" applyBorder="0">
      <alignment horizontal="right" vertical="top" shrinkToFit="1"/>
      <protection locked="0"/>
    </xf>
    <xf numFmtId="166" fontId="24" fillId="15" borderId="15">
      <alignment horizontal="right" vertical="top" shrinkToFit="1"/>
      <protection locked="0"/>
    </xf>
    <xf numFmtId="166" fontId="24" fillId="15" borderId="17">
      <alignment horizontal="right" vertical="top" shrinkToFit="1"/>
      <protection locked="0"/>
    </xf>
    <xf numFmtId="166" fontId="24" fillId="15" borderId="18">
      <alignment horizontal="right" vertical="top" shrinkToFit="1"/>
      <protection locked="0"/>
    </xf>
    <xf numFmtId="167" fontId="25" fillId="15" borderId="0" applyBorder="0">
      <alignment horizontal="right" vertical="top" shrinkToFit="1"/>
      <protection locked="0"/>
    </xf>
    <xf numFmtId="167" fontId="25" fillId="15" borderId="15">
      <alignment horizontal="right" vertical="top" shrinkToFit="1"/>
      <protection locked="0"/>
    </xf>
    <xf numFmtId="165" fontId="25" fillId="15" borderId="19">
      <alignment horizontal="right" vertical="top" shrinkToFit="1"/>
      <protection locked="0"/>
    </xf>
    <xf numFmtId="0" fontId="25" fillId="14" borderId="10">
      <alignment vertical="top" shrinkToFit="1"/>
    </xf>
    <xf numFmtId="3" fontId="25" fillId="15" borderId="8">
      <alignment horizontal="right" vertical="top" shrinkToFit="1"/>
      <protection locked="0"/>
    </xf>
    <xf numFmtId="3" fontId="25" fillId="15" borderId="9">
      <alignment horizontal="right" vertical="top" shrinkToFit="1"/>
      <protection locked="0"/>
    </xf>
    <xf numFmtId="0" fontId="25" fillId="14" borderId="10">
      <alignment horizontal="center" vertical="top" shrinkToFit="1"/>
    </xf>
    <xf numFmtId="4" fontId="25" fillId="15" borderId="9">
      <alignment horizontal="right" vertical="top" shrinkToFit="1"/>
      <protection locked="0"/>
    </xf>
    <xf numFmtId="165" fontId="25" fillId="15" borderId="12">
      <alignment horizontal="right" vertical="top" shrinkToFit="1"/>
      <protection locked="0"/>
    </xf>
    <xf numFmtId="3" fontId="25" fillId="15" borderId="13">
      <alignment horizontal="right" vertical="top" shrinkToFit="1"/>
      <protection locked="0"/>
    </xf>
    <xf numFmtId="165" fontId="25" fillId="15" borderId="17">
      <alignment horizontal="right" vertical="top" shrinkToFit="1"/>
      <protection locked="0"/>
    </xf>
    <xf numFmtId="3" fontId="25" fillId="15" borderId="18">
      <alignment horizontal="right" vertical="top" shrinkToFit="1"/>
      <protection locked="0"/>
    </xf>
    <xf numFmtId="3" fontId="25" fillId="15" borderId="12">
      <alignment horizontal="right" vertical="top" shrinkToFit="1"/>
      <protection locked="0"/>
    </xf>
    <xf numFmtId="3" fontId="27" fillId="15" borderId="0" applyBorder="0">
      <alignment horizontal="right" vertical="top" shrinkToFit="1"/>
      <protection locked="0"/>
    </xf>
    <xf numFmtId="3" fontId="27" fillId="15" borderId="15">
      <alignment horizontal="right" vertical="top" shrinkToFit="1"/>
      <protection locked="0"/>
    </xf>
    <xf numFmtId="3" fontId="27" fillId="15" borderId="17">
      <alignment horizontal="right" vertical="top" shrinkToFit="1"/>
      <protection locked="0"/>
    </xf>
    <xf numFmtId="3" fontId="27" fillId="15" borderId="18">
      <alignment horizontal="right" vertical="top" shrinkToFit="1"/>
      <protection locked="0"/>
    </xf>
    <xf numFmtId="165" fontId="25" fillId="15" borderId="10">
      <alignment horizontal="right" vertical="top" shrinkToFit="1"/>
      <protection locked="0"/>
    </xf>
    <xf numFmtId="169" fontId="25" fillId="15" borderId="8">
      <alignment horizontal="right" vertical="top" shrinkToFit="1"/>
      <protection locked="0"/>
    </xf>
    <xf numFmtId="169" fontId="25" fillId="15" borderId="9">
      <alignment horizontal="right" vertical="top" shrinkToFit="1"/>
      <protection locked="0"/>
    </xf>
    <xf numFmtId="0" fontId="25" fillId="15" borderId="8">
      <alignment horizontal="left" vertical="top" shrinkToFit="1"/>
      <protection locked="0"/>
    </xf>
    <xf numFmtId="171" fontId="25" fillId="15" borderId="8">
      <alignment horizontal="right" vertical="top" shrinkToFit="1"/>
      <protection locked="0"/>
    </xf>
    <xf numFmtId="165" fontId="25" fillId="15" borderId="8">
      <alignment horizontal="right" vertical="top" shrinkToFit="1"/>
      <protection locked="0"/>
    </xf>
    <xf numFmtId="4" fontId="25" fillId="15" borderId="8">
      <alignment horizontal="right" vertical="top" shrinkToFit="1"/>
      <protection locked="0"/>
    </xf>
    <xf numFmtId="165" fontId="25" fillId="15" borderId="9">
      <alignment horizontal="right" vertical="top" shrinkToFit="1"/>
      <protection locked="0"/>
    </xf>
    <xf numFmtId="165" fontId="25" fillId="15" borderId="20">
      <alignment horizontal="right" vertical="top" shrinkToFit="1"/>
      <protection locked="0"/>
    </xf>
    <xf numFmtId="169" fontId="27" fillId="14" borderId="12">
      <alignment horizontal="right" vertical="top" shrinkToFit="1"/>
    </xf>
    <xf numFmtId="169" fontId="27" fillId="15" borderId="12">
      <alignment horizontal="right" vertical="top" shrinkToFit="1"/>
      <protection locked="0"/>
    </xf>
    <xf numFmtId="169" fontId="27" fillId="15" borderId="13">
      <alignment horizontal="right" vertical="top" shrinkToFit="1"/>
      <protection locked="0"/>
    </xf>
    <xf numFmtId="169" fontId="27" fillId="14" borderId="0" applyBorder="0">
      <alignment horizontal="right" vertical="top" shrinkToFit="1"/>
    </xf>
    <xf numFmtId="169" fontId="27" fillId="15" borderId="0" applyBorder="0">
      <alignment horizontal="right" vertical="top" shrinkToFit="1"/>
      <protection locked="0"/>
    </xf>
    <xf numFmtId="169" fontId="27" fillId="15" borderId="15">
      <alignment horizontal="right" vertical="top" shrinkToFit="1"/>
      <protection locked="0"/>
    </xf>
    <xf numFmtId="169" fontId="27" fillId="14" borderId="17">
      <alignment horizontal="right" vertical="top" shrinkToFit="1"/>
    </xf>
    <xf numFmtId="169" fontId="27" fillId="15" borderId="17">
      <alignment horizontal="right" vertical="top" shrinkToFit="1"/>
      <protection locked="0"/>
    </xf>
    <xf numFmtId="169" fontId="27" fillId="15" borderId="18">
      <alignment horizontal="right" vertical="top" shrinkToFit="1"/>
      <protection locked="0"/>
    </xf>
    <xf numFmtId="164" fontId="25" fillId="15" borderId="8">
      <alignment horizontal="right" vertical="top" shrinkToFit="1"/>
      <protection locked="0"/>
    </xf>
    <xf numFmtId="164" fontId="25" fillId="15" borderId="9">
      <alignment horizontal="right" vertical="top" shrinkToFit="1"/>
      <protection locked="0"/>
    </xf>
    <xf numFmtId="164" fontId="25" fillId="15" borderId="12">
      <alignment horizontal="right" vertical="top" shrinkToFit="1"/>
      <protection locked="0"/>
    </xf>
    <xf numFmtId="164" fontId="25" fillId="15" borderId="13">
      <alignment horizontal="right" vertical="top" shrinkToFit="1"/>
      <protection locked="0"/>
    </xf>
    <xf numFmtId="164" fontId="25" fillId="14" borderId="17">
      <alignment horizontal="right" vertical="top" shrinkToFit="1"/>
    </xf>
    <xf numFmtId="0" fontId="25" fillId="14" borderId="19">
      <alignment vertical="top" shrinkToFit="1"/>
    </xf>
    <xf numFmtId="164" fontId="24" fillId="14" borderId="12">
      <alignment horizontal="right" vertical="top" shrinkToFit="1"/>
    </xf>
    <xf numFmtId="164" fontId="25" fillId="14" borderId="19">
      <alignment horizontal="right" vertical="top" shrinkToFit="1"/>
    </xf>
    <xf numFmtId="0" fontId="25" fillId="14" borderId="21">
      <alignment vertical="top" shrinkToFit="1"/>
    </xf>
    <xf numFmtId="167" fontId="24" fillId="14" borderId="17">
      <alignment horizontal="right" vertical="top" shrinkToFit="1"/>
    </xf>
    <xf numFmtId="167" fontId="25" fillId="14" borderId="21">
      <alignment horizontal="right" vertical="top" shrinkToFit="1"/>
    </xf>
    <xf numFmtId="0" fontId="25" fillId="14" borderId="20">
      <alignment vertical="top" shrinkToFit="1"/>
    </xf>
    <xf numFmtId="164" fontId="24" fillId="14" borderId="0" applyBorder="0">
      <alignment horizontal="right" vertical="top" shrinkToFit="1"/>
    </xf>
    <xf numFmtId="164" fontId="25" fillId="14" borderId="20">
      <alignment horizontal="right" vertical="top" shrinkToFit="1"/>
    </xf>
    <xf numFmtId="165" fontId="24" fillId="14" borderId="0" applyBorder="0">
      <alignment horizontal="right" vertical="top" shrinkToFit="1"/>
    </xf>
    <xf numFmtId="165" fontId="25" fillId="14" borderId="20">
      <alignment horizontal="right" vertical="top" shrinkToFit="1"/>
    </xf>
    <xf numFmtId="164" fontId="24" fillId="14" borderId="8">
      <alignment horizontal="right" vertical="top" shrinkToFit="1"/>
    </xf>
    <xf numFmtId="164" fontId="25" fillId="14" borderId="10">
      <alignment horizontal="right" vertical="top" shrinkToFit="1"/>
    </xf>
    <xf numFmtId="164" fontId="25" fillId="14" borderId="12">
      <alignment horizontal="right" vertical="top" shrinkToFit="1"/>
    </xf>
    <xf numFmtId="0" fontId="27" fillId="14" borderId="20">
      <alignment vertical="top" shrinkToFit="1"/>
    </xf>
    <xf numFmtId="164" fontId="27" fillId="14" borderId="0" applyBorder="0">
      <alignment horizontal="right" vertical="top" shrinkToFit="1"/>
    </xf>
    <xf numFmtId="0" fontId="28" fillId="14" borderId="20">
      <alignment vertical="top" shrinkToFit="1"/>
    </xf>
    <xf numFmtId="164" fontId="25" fillId="14" borderId="0" applyBorder="0">
      <alignment horizontal="right" vertical="top" shrinkToFit="1"/>
    </xf>
    <xf numFmtId="164" fontId="25" fillId="14" borderId="21">
      <alignment horizontal="right" vertical="top" shrinkToFit="1"/>
    </xf>
    <xf numFmtId="165" fontId="25" fillId="14" borderId="8">
      <alignment horizontal="right" vertical="top" shrinkToFit="1"/>
    </xf>
    <xf numFmtId="165" fontId="25" fillId="14" borderId="10">
      <alignment horizontal="right" vertical="top" shrinkToFit="1"/>
    </xf>
    <xf numFmtId="164" fontId="25" fillId="14" borderId="8">
      <alignment horizontal="right" vertical="top" shrinkToFit="1"/>
    </xf>
    <xf numFmtId="167" fontId="24" fillId="14" borderId="12">
      <alignment horizontal="right" vertical="top" shrinkToFit="1"/>
    </xf>
    <xf numFmtId="167" fontId="25" fillId="14" borderId="19">
      <alignment horizontal="right" vertical="top" shrinkToFit="1"/>
    </xf>
    <xf numFmtId="167" fontId="24" fillId="14" borderId="0" applyBorder="0">
      <alignment horizontal="right" vertical="top" shrinkToFit="1"/>
    </xf>
    <xf numFmtId="167" fontId="25" fillId="14" borderId="20">
      <alignment horizontal="right" vertical="top" shrinkToFit="1"/>
    </xf>
    <xf numFmtId="4" fontId="24" fillId="14" borderId="12">
      <alignment horizontal="right" vertical="top" shrinkToFit="1"/>
    </xf>
    <xf numFmtId="4" fontId="25" fillId="14" borderId="19">
      <alignment horizontal="right" vertical="top" shrinkToFit="1"/>
    </xf>
    <xf numFmtId="4" fontId="24" fillId="14" borderId="17">
      <alignment horizontal="right" vertical="top" shrinkToFit="1"/>
    </xf>
    <xf numFmtId="4" fontId="25" fillId="14" borderId="21">
      <alignment horizontal="right" vertical="top" shrinkToFit="1"/>
    </xf>
    <xf numFmtId="4" fontId="24" fillId="14" borderId="0" applyBorder="0">
      <alignment horizontal="right" vertical="top" shrinkToFit="1"/>
    </xf>
    <xf numFmtId="4" fontId="25" fillId="14" borderId="20">
      <alignment horizontal="right" vertical="top" shrinkToFit="1"/>
    </xf>
    <xf numFmtId="164" fontId="24" fillId="14" borderId="17">
      <alignment horizontal="right" vertical="top" shrinkToFit="1"/>
    </xf>
    <xf numFmtId="167" fontId="25" fillId="14" borderId="8">
      <alignment horizontal="right" vertical="top" shrinkToFit="1"/>
    </xf>
    <xf numFmtId="167" fontId="25" fillId="14" borderId="10">
      <alignment horizontal="right" vertical="top" shrinkToFit="1"/>
    </xf>
    <xf numFmtId="0" fontId="27" fillId="14" borderId="21">
      <alignment vertical="top" shrinkToFit="1"/>
    </xf>
    <xf numFmtId="164" fontId="27" fillId="14" borderId="17">
      <alignment horizontal="right" vertical="top" shrinkToFit="1"/>
    </xf>
    <xf numFmtId="167" fontId="25" fillId="14" borderId="12">
      <alignment horizontal="right" vertical="top" shrinkToFit="1"/>
    </xf>
    <xf numFmtId="167" fontId="27" fillId="14" borderId="0" applyBorder="0">
      <alignment horizontal="right" vertical="top" shrinkToFit="1"/>
    </xf>
    <xf numFmtId="167" fontId="25" fillId="14" borderId="0" applyBorder="0">
      <alignment horizontal="right" vertical="top" shrinkToFit="1"/>
    </xf>
    <xf numFmtId="167" fontId="25" fillId="14" borderId="17">
      <alignment horizontal="right" vertical="top" shrinkToFit="1"/>
    </xf>
    <xf numFmtId="3" fontId="25" fillId="14" borderId="12">
      <alignment horizontal="right" vertical="top" shrinkToFit="1"/>
    </xf>
    <xf numFmtId="3" fontId="25" fillId="14" borderId="19">
      <alignment horizontal="right" vertical="top" shrinkToFit="1"/>
    </xf>
    <xf numFmtId="3" fontId="27" fillId="14" borderId="0" applyBorder="0">
      <alignment horizontal="right" vertical="top" shrinkToFit="1"/>
    </xf>
    <xf numFmtId="3" fontId="25" fillId="14" borderId="20">
      <alignment horizontal="right" vertical="top" shrinkToFit="1"/>
    </xf>
    <xf numFmtId="3" fontId="24" fillId="14" borderId="0" applyBorder="0">
      <alignment horizontal="right" vertical="top" shrinkToFit="1"/>
    </xf>
    <xf numFmtId="3" fontId="25" fillId="14" borderId="0" applyBorder="0">
      <alignment horizontal="right" vertical="top" shrinkToFit="1"/>
    </xf>
    <xf numFmtId="3" fontId="27" fillId="14" borderId="17">
      <alignment horizontal="right" vertical="top" shrinkToFit="1"/>
    </xf>
    <xf numFmtId="3" fontId="25" fillId="14" borderId="21">
      <alignment horizontal="right" vertical="top" shrinkToFit="1"/>
    </xf>
    <xf numFmtId="3" fontId="25" fillId="14" borderId="17">
      <alignment horizontal="right" vertical="top" shrinkToFit="1"/>
    </xf>
    <xf numFmtId="166" fontId="25" fillId="14" borderId="12">
      <alignment horizontal="right" vertical="top" shrinkToFit="1"/>
    </xf>
    <xf numFmtId="166" fontId="25" fillId="14" borderId="19">
      <alignment horizontal="right" vertical="top" shrinkToFit="1"/>
    </xf>
    <xf numFmtId="166" fontId="27" fillId="14" borderId="0" applyBorder="0">
      <alignment horizontal="right" vertical="top" shrinkToFit="1"/>
    </xf>
    <xf numFmtId="166" fontId="25" fillId="14" borderId="20">
      <alignment horizontal="right" vertical="top" shrinkToFit="1"/>
    </xf>
    <xf numFmtId="166" fontId="25" fillId="14" borderId="0" applyBorder="0">
      <alignment horizontal="right" vertical="top" shrinkToFit="1"/>
    </xf>
    <xf numFmtId="166" fontId="24" fillId="14" borderId="0" applyBorder="0">
      <alignment horizontal="right" vertical="top" shrinkToFit="1"/>
    </xf>
    <xf numFmtId="167" fontId="27" fillId="14" borderId="17">
      <alignment horizontal="right" vertical="top" shrinkToFit="1"/>
    </xf>
    <xf numFmtId="164" fontId="28" fillId="14" borderId="0" applyBorder="0">
      <alignment horizontal="right" vertical="top" shrinkToFit="1"/>
    </xf>
    <xf numFmtId="0" fontId="28" fillId="14" borderId="21">
      <alignment vertical="top" shrinkToFit="1"/>
    </xf>
    <xf numFmtId="164" fontId="28" fillId="14" borderId="17">
      <alignment horizontal="right" vertical="top" shrinkToFit="1"/>
    </xf>
    <xf numFmtId="165" fontId="25" fillId="14" borderId="12">
      <alignment horizontal="right" vertical="top" shrinkToFit="1"/>
    </xf>
    <xf numFmtId="165" fontId="25" fillId="14" borderId="19">
      <alignment horizontal="right" vertical="top" shrinkToFit="1"/>
    </xf>
    <xf numFmtId="165" fontId="27" fillId="14" borderId="0" applyBorder="0">
      <alignment horizontal="right" vertical="top" shrinkToFit="1"/>
    </xf>
    <xf numFmtId="165" fontId="25" fillId="14" borderId="0" applyBorder="0">
      <alignment horizontal="right" vertical="top" shrinkToFit="1"/>
    </xf>
    <xf numFmtId="170" fontId="25" fillId="14" borderId="0" applyBorder="0">
      <alignment horizontal="right" vertical="top" shrinkToFit="1"/>
    </xf>
    <xf numFmtId="170" fontId="25" fillId="14" borderId="20">
      <alignment horizontal="right" vertical="top" shrinkToFit="1"/>
    </xf>
    <xf numFmtId="166" fontId="25" fillId="14" borderId="17">
      <alignment horizontal="right" vertical="top" shrinkToFit="1"/>
    </xf>
    <xf numFmtId="166" fontId="25" fillId="14" borderId="21">
      <alignment horizontal="right" vertical="top" shrinkToFit="1"/>
    </xf>
    <xf numFmtId="4" fontId="25" fillId="14" borderId="12">
      <alignment horizontal="right" vertical="top" shrinkToFit="1"/>
    </xf>
    <xf numFmtId="4" fontId="27" fillId="14" borderId="0" applyBorder="0">
      <alignment horizontal="right" vertical="top" shrinkToFit="1"/>
    </xf>
    <xf numFmtId="4" fontId="25" fillId="14" borderId="0" applyBorder="0">
      <alignment horizontal="right" vertical="top" shrinkToFit="1"/>
    </xf>
    <xf numFmtId="4" fontId="27" fillId="14" borderId="17">
      <alignment horizontal="right" vertical="top" shrinkToFit="1"/>
    </xf>
    <xf numFmtId="173" fontId="25" fillId="14" borderId="0" applyBorder="0">
      <alignment horizontal="right" vertical="top" shrinkToFit="1"/>
    </xf>
    <xf numFmtId="173" fontId="25" fillId="14" borderId="20">
      <alignment horizontal="right" vertical="top" shrinkToFit="1"/>
    </xf>
    <xf numFmtId="173" fontId="27" fillId="14" borderId="0" applyBorder="0">
      <alignment horizontal="right" vertical="top" shrinkToFit="1"/>
    </xf>
    <xf numFmtId="173" fontId="24" fillId="14" borderId="0" applyBorder="0">
      <alignment horizontal="right" vertical="top" shrinkToFit="1"/>
    </xf>
    <xf numFmtId="165" fontId="27" fillId="14" borderId="17">
      <alignment horizontal="right" vertical="top" shrinkToFit="1"/>
    </xf>
    <xf numFmtId="165" fontId="25" fillId="14" borderId="21">
      <alignment horizontal="right" vertical="top" shrinkToFit="1"/>
    </xf>
    <xf numFmtId="169" fontId="25" fillId="14" borderId="17">
      <alignment horizontal="right" vertical="top" shrinkToFit="1"/>
    </xf>
    <xf numFmtId="169" fontId="25" fillId="14" borderId="21">
      <alignment horizontal="right" vertical="top" shrinkToFit="1"/>
    </xf>
    <xf numFmtId="3" fontId="24" fillId="14" borderId="17">
      <alignment horizontal="right" vertical="top" shrinkToFit="1"/>
    </xf>
    <xf numFmtId="0" fontId="25" fillId="14" borderId="8">
      <alignment horizontal="left" vertical="top" shrinkToFit="1"/>
    </xf>
    <xf numFmtId="171" fontId="25" fillId="14" borderId="8">
      <alignment horizontal="right" vertical="top" shrinkToFit="1"/>
    </xf>
    <xf numFmtId="4" fontId="25" fillId="14" borderId="8">
      <alignment horizontal="right" vertical="top" shrinkToFit="1"/>
    </xf>
    <xf numFmtId="165" fontId="25" fillId="14" borderId="9">
      <alignment horizontal="right" vertical="top" shrinkToFit="1"/>
    </xf>
    <xf numFmtId="169" fontId="25" fillId="14" borderId="0" applyBorder="0">
      <alignment horizontal="right" vertical="top" shrinkToFit="1"/>
    </xf>
    <xf numFmtId="169" fontId="25" fillId="14" borderId="20">
      <alignment horizontal="right" vertical="top" shrinkToFit="1"/>
    </xf>
    <xf numFmtId="169" fontId="24" fillId="14" borderId="0" applyBorder="0">
      <alignment horizontal="right" vertical="top" shrinkToFit="1"/>
    </xf>
    <xf numFmtId="0" fontId="25" fillId="2" borderId="0" applyBorder="0">
      <alignment vertical="top" shrinkToFit="1"/>
    </xf>
    <xf numFmtId="0" fontId="28" fillId="2" borderId="0" applyBorder="0">
      <alignment vertical="top" shrinkToFit="1"/>
    </xf>
    <xf numFmtId="0" fontId="25" fillId="2" borderId="0" applyBorder="0">
      <alignment horizontal="right" vertical="top" shrinkToFit="1"/>
    </xf>
    <xf numFmtId="0" fontId="24" fillId="2" borderId="0" applyBorder="0">
      <alignment vertical="top" shrinkToFit="1"/>
    </xf>
    <xf numFmtId="0" fontId="28" fillId="14" borderId="8">
      <alignment vertical="top" shrinkToFit="1"/>
    </xf>
    <xf numFmtId="0" fontId="25" fillId="14" borderId="8">
      <alignment horizontal="right" vertical="top" shrinkToFit="1"/>
    </xf>
    <xf numFmtId="0" fontId="25" fillId="14" borderId="19">
      <alignment horizontal="left" vertical="top" shrinkToFit="1"/>
    </xf>
    <xf numFmtId="0" fontId="25" fillId="14" borderId="20">
      <alignment horizontal="left" vertical="top" shrinkToFit="1"/>
    </xf>
    <xf numFmtId="0" fontId="25" fillId="14" borderId="21">
      <alignment horizontal="left" vertical="top" shrinkToFit="1"/>
    </xf>
    <xf numFmtId="164" fontId="25" fillId="14" borderId="13">
      <alignment horizontal="right" vertical="top" shrinkToFit="1"/>
    </xf>
    <xf numFmtId="164" fontId="25" fillId="14" borderId="15">
      <alignment horizontal="right" vertical="top" shrinkToFit="1"/>
    </xf>
    <xf numFmtId="164" fontId="25" fillId="14" borderId="9">
      <alignment horizontal="right" vertical="top" shrinkToFit="1"/>
    </xf>
    <xf numFmtId="3" fontId="25" fillId="14" borderId="13">
      <alignment horizontal="right" vertical="top" shrinkToFit="1"/>
    </xf>
    <xf numFmtId="3" fontId="27" fillId="14" borderId="15">
      <alignment horizontal="right" vertical="top" shrinkToFit="1"/>
    </xf>
    <xf numFmtId="3" fontId="25" fillId="14" borderId="15">
      <alignment horizontal="right" vertical="top" shrinkToFit="1"/>
    </xf>
    <xf numFmtId="3" fontId="25" fillId="14" borderId="8">
      <alignment horizontal="right" vertical="top" shrinkToFit="1"/>
    </xf>
    <xf numFmtId="3" fontId="25" fillId="14" borderId="9">
      <alignment horizontal="right" vertical="top" shrinkToFit="1"/>
    </xf>
    <xf numFmtId="3" fontId="25" fillId="14" borderId="18">
      <alignment horizontal="right" vertical="top" shrinkToFit="1"/>
    </xf>
    <xf numFmtId="165" fontId="25" fillId="14" borderId="13">
      <alignment horizontal="right" vertical="top" shrinkToFit="1"/>
    </xf>
    <xf numFmtId="165" fontId="27" fillId="14" borderId="15">
      <alignment horizontal="right" vertical="top" shrinkToFit="1"/>
    </xf>
    <xf numFmtId="165" fontId="24" fillId="14" borderId="15">
      <alignment horizontal="right" vertical="top" shrinkToFit="1"/>
    </xf>
    <xf numFmtId="165" fontId="25" fillId="14" borderId="15">
      <alignment horizontal="right" vertical="top" shrinkToFit="1"/>
    </xf>
    <xf numFmtId="165" fontId="27" fillId="14" borderId="18">
      <alignment horizontal="right" vertical="top" shrinkToFit="1"/>
    </xf>
    <xf numFmtId="165" fontId="25" fillId="14" borderId="17">
      <alignment horizontal="right" vertical="top" shrinkToFit="1"/>
    </xf>
    <xf numFmtId="165" fontId="25" fillId="14" borderId="18">
      <alignment horizontal="right" vertical="top" shrinkToFit="1"/>
    </xf>
    <xf numFmtId="173" fontId="25" fillId="14" borderId="12">
      <alignment horizontal="right" vertical="top" shrinkToFit="1"/>
    </xf>
    <xf numFmtId="173" fontId="25" fillId="14" borderId="13">
      <alignment horizontal="right" vertical="top" shrinkToFit="1"/>
    </xf>
    <xf numFmtId="173" fontId="25" fillId="14" borderId="15">
      <alignment horizontal="right" vertical="top" shrinkToFit="1"/>
    </xf>
    <xf numFmtId="173" fontId="25" fillId="14" borderId="8">
      <alignment horizontal="right" vertical="top" shrinkToFit="1"/>
    </xf>
    <xf numFmtId="173" fontId="25" fillId="14" borderId="9">
      <alignment horizontal="right" vertical="top" shrinkToFit="1"/>
    </xf>
    <xf numFmtId="164" fontId="27" fillId="14" borderId="15">
      <alignment horizontal="right" vertical="top" shrinkToFit="1"/>
    </xf>
    <xf numFmtId="164" fontId="25" fillId="14" borderId="18">
      <alignment horizontal="right" vertical="top" shrinkToFit="1"/>
    </xf>
    <xf numFmtId="171" fontId="25" fillId="14" borderId="9">
      <alignment horizontal="right" vertical="top" shrinkToFit="1"/>
    </xf>
    <xf numFmtId="167" fontId="25" fillId="14" borderId="13">
      <alignment horizontal="right" vertical="top" shrinkToFit="1"/>
    </xf>
    <xf numFmtId="167" fontId="27" fillId="14" borderId="15">
      <alignment horizontal="right" vertical="top" shrinkToFit="1"/>
    </xf>
    <xf numFmtId="167" fontId="25" fillId="14" borderId="15">
      <alignment horizontal="right" vertical="top" shrinkToFit="1"/>
    </xf>
    <xf numFmtId="167" fontId="25" fillId="14" borderId="9">
      <alignment horizontal="right" vertical="top" shrinkToFit="1"/>
    </xf>
    <xf numFmtId="167" fontId="25" fillId="14" borderId="18">
      <alignment horizontal="right" vertical="top" shrinkToFit="1"/>
    </xf>
    <xf numFmtId="166" fontId="25" fillId="14" borderId="13">
      <alignment horizontal="right" vertical="top" shrinkToFit="1"/>
    </xf>
    <xf numFmtId="166" fontId="25" fillId="14" borderId="15">
      <alignment horizontal="right" vertical="top" shrinkToFit="1"/>
    </xf>
    <xf numFmtId="166" fontId="25" fillId="14" borderId="8">
      <alignment horizontal="right" vertical="top" shrinkToFit="1"/>
    </xf>
    <xf numFmtId="166" fontId="25" fillId="14" borderId="9">
      <alignment horizontal="right" vertical="top" shrinkToFit="1"/>
    </xf>
    <xf numFmtId="164" fontId="24" fillId="14" borderId="15">
      <alignment horizontal="right" vertical="top" shrinkToFit="1"/>
    </xf>
    <xf numFmtId="164" fontId="27" fillId="14" borderId="18">
      <alignment horizontal="right" vertical="top" shrinkToFit="1"/>
    </xf>
    <xf numFmtId="166" fontId="27" fillId="14" borderId="15">
      <alignment horizontal="right" vertical="top" shrinkToFit="1"/>
    </xf>
    <xf numFmtId="166" fontId="25" fillId="14" borderId="18">
      <alignment horizontal="right" vertical="top" shrinkToFit="1"/>
    </xf>
    <xf numFmtId="4" fontId="25" fillId="14" borderId="9">
      <alignment horizontal="right" vertical="top" shrinkToFit="1"/>
    </xf>
    <xf numFmtId="4" fontId="25" fillId="14" borderId="13">
      <alignment horizontal="right" vertical="top" shrinkToFit="1"/>
    </xf>
    <xf numFmtId="4" fontId="27" fillId="14" borderId="15">
      <alignment horizontal="right" vertical="top" shrinkToFit="1"/>
    </xf>
    <xf numFmtId="4" fontId="25" fillId="14" borderId="15">
      <alignment horizontal="right" vertical="top" shrinkToFit="1"/>
    </xf>
    <xf numFmtId="4" fontId="25" fillId="14" borderId="17">
      <alignment horizontal="right" vertical="top" shrinkToFit="1"/>
    </xf>
    <xf numFmtId="4" fontId="25" fillId="14" borderId="18">
      <alignment horizontal="right" vertical="top" shrinkToFit="1"/>
    </xf>
    <xf numFmtId="169" fontId="25" fillId="14" borderId="12">
      <alignment horizontal="right" vertical="top" shrinkToFit="1"/>
    </xf>
    <xf numFmtId="169" fontId="25" fillId="14" borderId="13">
      <alignment horizontal="right" vertical="top" shrinkToFit="1"/>
    </xf>
    <xf numFmtId="169" fontId="25" fillId="14" borderId="15">
      <alignment horizontal="right" vertical="top" shrinkToFit="1"/>
    </xf>
    <xf numFmtId="169" fontId="25" fillId="14" borderId="8">
      <alignment horizontal="right" vertical="top" shrinkToFit="1"/>
    </xf>
    <xf numFmtId="169" fontId="25" fillId="14" borderId="9">
      <alignment horizontal="right" vertical="top" shrinkToFit="1"/>
    </xf>
    <xf numFmtId="0" fontId="25" fillId="14" borderId="22">
      <alignment horizontal="left" vertical="top" shrinkToFit="1"/>
    </xf>
    <xf numFmtId="171" fontId="24" fillId="15" borderId="22">
      <alignment horizontal="right" vertical="top" shrinkToFit="1"/>
      <protection locked="0"/>
    </xf>
    <xf numFmtId="0" fontId="25" fillId="14" borderId="23">
      <alignment horizontal="left" vertical="top" shrinkToFit="1"/>
    </xf>
    <xf numFmtId="0" fontId="24" fillId="14" borderId="22">
      <alignment vertical="top" shrinkToFit="1"/>
    </xf>
    <xf numFmtId="0" fontId="24" fillId="15" borderId="22">
      <alignment vertical="top" shrinkToFit="1"/>
      <protection locked="0"/>
    </xf>
    <xf numFmtId="0" fontId="25" fillId="15" borderId="22">
      <alignment vertical="top" shrinkToFit="1"/>
      <protection locked="0"/>
    </xf>
    <xf numFmtId="0" fontId="27" fillId="15" borderId="22">
      <alignment vertical="top" shrinkToFit="1"/>
      <protection locked="0"/>
    </xf>
    <xf numFmtId="0" fontId="28" fillId="15" borderId="22">
      <alignment vertical="top" shrinkToFit="1"/>
      <protection locked="0"/>
    </xf>
    <xf numFmtId="4" fontId="21" fillId="14" borderId="12">
      <alignment horizontal="right" vertical="top" shrinkToFit="1"/>
    </xf>
    <xf numFmtId="4" fontId="22" fillId="14" borderId="19">
      <alignment horizontal="right" vertical="top" shrinkToFit="1"/>
    </xf>
    <xf numFmtId="4" fontId="21" fillId="14" borderId="13">
      <alignment horizontal="right" vertical="top" shrinkToFit="1"/>
    </xf>
    <xf numFmtId="4" fontId="21" fillId="14" borderId="17">
      <alignment horizontal="right" vertical="top" shrinkToFit="1"/>
    </xf>
    <xf numFmtId="4" fontId="22" fillId="14" borderId="21">
      <alignment horizontal="right" vertical="top" shrinkToFit="1"/>
    </xf>
    <xf numFmtId="4" fontId="21" fillId="14" borderId="18">
      <alignment horizontal="right" vertical="top" shrinkToFit="1"/>
    </xf>
    <xf numFmtId="4" fontId="21" fillId="14" borderId="0" applyBorder="0">
      <alignment horizontal="right" vertical="top" shrinkToFit="1"/>
    </xf>
    <xf numFmtId="4" fontId="22" fillId="14" borderId="20">
      <alignment horizontal="right" vertical="top" shrinkToFit="1"/>
    </xf>
    <xf numFmtId="4" fontId="21" fillId="14" borderId="15">
      <alignment horizontal="right" vertical="top" shrinkToFit="1"/>
    </xf>
    <xf numFmtId="164" fontId="21" fillId="14" borderId="17">
      <alignment horizontal="right" vertical="top" shrinkToFit="1"/>
    </xf>
    <xf numFmtId="164" fontId="21" fillId="14" borderId="18">
      <alignment horizontal="right" vertical="top" shrinkToFit="1"/>
    </xf>
    <xf numFmtId="169" fontId="21" fillId="14" borderId="0" applyBorder="0">
      <alignment horizontal="right" vertical="top" shrinkToFit="1"/>
    </xf>
    <xf numFmtId="169" fontId="22" fillId="14" borderId="20">
      <alignment horizontal="right" vertical="top" shrinkToFit="1"/>
    </xf>
    <xf numFmtId="169" fontId="21" fillId="14" borderId="15">
      <alignment horizontal="right" vertical="top" shrinkToFit="1"/>
    </xf>
    <xf numFmtId="0" fontId="19" fillId="14" borderId="21">
      <alignment vertical="top" shrinkToFit="1"/>
    </xf>
    <xf numFmtId="164" fontId="19" fillId="14" borderId="17">
      <alignment horizontal="right" vertical="top" shrinkToFit="1"/>
    </xf>
    <xf numFmtId="164" fontId="19" fillId="14" borderId="21">
      <alignment horizontal="right" vertical="top" shrinkToFit="1"/>
    </xf>
    <xf numFmtId="164" fontId="19" fillId="14" borderId="18">
      <alignment horizontal="right" vertical="top" shrinkToFit="1"/>
    </xf>
    <xf numFmtId="3" fontId="19" fillId="14" borderId="0" applyBorder="0">
      <alignment horizontal="right" vertical="top" shrinkToFit="1"/>
    </xf>
    <xf numFmtId="3" fontId="19" fillId="14" borderId="20">
      <alignment horizontal="right" vertical="top" shrinkToFit="1"/>
    </xf>
    <xf numFmtId="3" fontId="19" fillId="14" borderId="15">
      <alignment horizontal="right" vertical="top" shrinkToFit="1"/>
    </xf>
    <xf numFmtId="3" fontId="19" fillId="14" borderId="17">
      <alignment horizontal="right" vertical="top" shrinkToFit="1"/>
    </xf>
    <xf numFmtId="3" fontId="19" fillId="14" borderId="21">
      <alignment horizontal="right" vertical="top" shrinkToFit="1"/>
    </xf>
    <xf numFmtId="3" fontId="19" fillId="14" borderId="18">
      <alignment horizontal="right" vertical="top" shrinkToFit="1"/>
    </xf>
    <xf numFmtId="3" fontId="22" fillId="14" borderId="12">
      <alignment horizontal="right" vertical="top" shrinkToFit="1"/>
    </xf>
    <xf numFmtId="3" fontId="22" fillId="14" borderId="19">
      <alignment horizontal="right" vertical="top" shrinkToFit="1"/>
    </xf>
    <xf numFmtId="3" fontId="22" fillId="14" borderId="20">
      <alignment horizontal="right" vertical="top" shrinkToFit="1"/>
    </xf>
    <xf numFmtId="3" fontId="22" fillId="14" borderId="21">
      <alignment horizontal="right" vertical="top" shrinkToFit="1"/>
    </xf>
    <xf numFmtId="3" fontId="22" fillId="14" borderId="18">
      <alignment horizontal="right" vertical="top" shrinkToFit="1"/>
    </xf>
    <xf numFmtId="167" fontId="19" fillId="14" borderId="17">
      <alignment horizontal="right" vertical="top" shrinkToFit="1"/>
    </xf>
    <xf numFmtId="167" fontId="19" fillId="14" borderId="21">
      <alignment horizontal="right" vertical="top" shrinkToFit="1"/>
    </xf>
    <xf numFmtId="167" fontId="19" fillId="14" borderId="18">
      <alignment horizontal="right" vertical="top" shrinkToFit="1"/>
    </xf>
    <xf numFmtId="3" fontId="20" fillId="14" borderId="0" applyBorder="0">
      <alignment horizontal="right" vertical="top" shrinkToFit="1"/>
    </xf>
    <xf numFmtId="3" fontId="20" fillId="14" borderId="20">
      <alignment horizontal="right" vertical="top" shrinkToFit="1"/>
    </xf>
    <xf numFmtId="3" fontId="20" fillId="14" borderId="15">
      <alignment horizontal="right" vertical="top" shrinkToFit="1"/>
    </xf>
    <xf numFmtId="3" fontId="21" fillId="14" borderId="0" applyBorder="0">
      <alignment horizontal="right" vertical="top" shrinkToFit="1"/>
    </xf>
    <xf numFmtId="3" fontId="21" fillId="14" borderId="15">
      <alignment horizontal="right" vertical="top" shrinkToFit="1"/>
    </xf>
    <xf numFmtId="166" fontId="22" fillId="14" borderId="12">
      <alignment horizontal="right" vertical="top" shrinkToFit="1"/>
    </xf>
    <xf numFmtId="166" fontId="22" fillId="14" borderId="19">
      <alignment horizontal="right" vertical="top" shrinkToFit="1"/>
    </xf>
    <xf numFmtId="166" fontId="22" fillId="14" borderId="13">
      <alignment horizontal="right" vertical="top" shrinkToFit="1"/>
    </xf>
    <xf numFmtId="166" fontId="19" fillId="14" borderId="0" applyBorder="0">
      <alignment horizontal="right" vertical="top" shrinkToFit="1"/>
    </xf>
    <xf numFmtId="166" fontId="19" fillId="14" borderId="20">
      <alignment horizontal="right" vertical="top" shrinkToFit="1"/>
    </xf>
    <xf numFmtId="166" fontId="19" fillId="14" borderId="15">
      <alignment horizontal="right" vertical="top" shrinkToFit="1"/>
    </xf>
    <xf numFmtId="166" fontId="20" fillId="14" borderId="0" applyBorder="0">
      <alignment horizontal="right" vertical="top" shrinkToFit="1"/>
    </xf>
    <xf numFmtId="166" fontId="20" fillId="14" borderId="20">
      <alignment horizontal="right" vertical="top" shrinkToFit="1"/>
    </xf>
    <xf numFmtId="166" fontId="20" fillId="14" borderId="15">
      <alignment horizontal="right" vertical="top" shrinkToFit="1"/>
    </xf>
    <xf numFmtId="166" fontId="22" fillId="14" borderId="0" applyBorder="0">
      <alignment horizontal="right" vertical="top" shrinkToFit="1"/>
    </xf>
    <xf numFmtId="166" fontId="22" fillId="14" borderId="20">
      <alignment horizontal="right" vertical="top" shrinkToFit="1"/>
    </xf>
    <xf numFmtId="166" fontId="22" fillId="14" borderId="15">
      <alignment horizontal="right" vertical="top" shrinkToFit="1"/>
    </xf>
    <xf numFmtId="166" fontId="21" fillId="14" borderId="0" applyBorder="0">
      <alignment horizontal="right" vertical="top" shrinkToFit="1"/>
    </xf>
    <xf numFmtId="166" fontId="21" fillId="14" borderId="15">
      <alignment horizontal="right" vertical="top" shrinkToFit="1"/>
    </xf>
    <xf numFmtId="169" fontId="22" fillId="14" borderId="19">
      <alignment horizontal="right" vertical="top" shrinkToFit="1"/>
    </xf>
    <xf numFmtId="169" fontId="19" fillId="14" borderId="20">
      <alignment horizontal="right" vertical="top" shrinkToFit="1"/>
    </xf>
    <xf numFmtId="169" fontId="20" fillId="14" borderId="20">
      <alignment horizontal="right" vertical="top" shrinkToFit="1"/>
    </xf>
    <xf numFmtId="169" fontId="20" fillId="14" borderId="21">
      <alignment horizontal="right" vertical="top" shrinkToFit="1"/>
    </xf>
    <xf numFmtId="3" fontId="20" fillId="14" borderId="17">
      <alignment horizontal="right" vertical="top" shrinkToFit="1"/>
    </xf>
    <xf numFmtId="3" fontId="20" fillId="14" borderId="21">
      <alignment horizontal="right" vertical="top" shrinkToFit="1"/>
    </xf>
    <xf numFmtId="3" fontId="20" fillId="14" borderId="18">
      <alignment horizontal="right" vertical="top" shrinkToFit="1"/>
    </xf>
    <xf numFmtId="165" fontId="22" fillId="14" borderId="19">
      <alignment horizontal="right" vertical="top" shrinkToFit="1"/>
    </xf>
    <xf numFmtId="165" fontId="22" fillId="14" borderId="13">
      <alignment horizontal="right" vertical="top" shrinkToFit="1"/>
    </xf>
    <xf numFmtId="165" fontId="20" fillId="14" borderId="20">
      <alignment horizontal="right" vertical="top" shrinkToFit="1"/>
    </xf>
    <xf numFmtId="4" fontId="22" fillId="14" borderId="0" applyBorder="0">
      <alignment horizontal="right" vertical="top" shrinkToFit="1"/>
    </xf>
    <xf numFmtId="4" fontId="22" fillId="14" borderId="15">
      <alignment horizontal="right" vertical="top" shrinkToFit="1"/>
    </xf>
    <xf numFmtId="4" fontId="19" fillId="14" borderId="0" applyBorder="0">
      <alignment horizontal="right" vertical="top" shrinkToFit="1"/>
    </xf>
    <xf numFmtId="4" fontId="19" fillId="14" borderId="20">
      <alignment horizontal="right" vertical="top" shrinkToFit="1"/>
    </xf>
    <xf numFmtId="4" fontId="19" fillId="14" borderId="15">
      <alignment horizontal="right" vertical="top" shrinkToFit="1"/>
    </xf>
    <xf numFmtId="4" fontId="20" fillId="14" borderId="0" applyBorder="0">
      <alignment horizontal="right" vertical="top" shrinkToFit="1"/>
    </xf>
    <xf numFmtId="4" fontId="20" fillId="14" borderId="20">
      <alignment horizontal="right" vertical="top" shrinkToFit="1"/>
    </xf>
    <xf numFmtId="4" fontId="20" fillId="14" borderId="15">
      <alignment horizontal="right" vertical="top" shrinkToFit="1"/>
    </xf>
    <xf numFmtId="166" fontId="22" fillId="14" borderId="17">
      <alignment horizontal="right" vertical="top" shrinkToFit="1"/>
    </xf>
    <xf numFmtId="166" fontId="22" fillId="14" borderId="21">
      <alignment horizontal="right" vertical="top" shrinkToFit="1"/>
    </xf>
    <xf numFmtId="166" fontId="22" fillId="14" borderId="18">
      <alignment horizontal="right" vertical="top" shrinkToFit="1"/>
    </xf>
    <xf numFmtId="4" fontId="22" fillId="14" borderId="12">
      <alignment horizontal="right" vertical="top" shrinkToFit="1"/>
    </xf>
    <xf numFmtId="4" fontId="22" fillId="14" borderId="13">
      <alignment horizontal="right" vertical="top" shrinkToFit="1"/>
    </xf>
    <xf numFmtId="168" fontId="22" fillId="14" borderId="0" applyBorder="0">
      <alignment horizontal="right" vertical="top" shrinkToFit="1"/>
    </xf>
    <xf numFmtId="168" fontId="22" fillId="14" borderId="20">
      <alignment horizontal="right" vertical="top" shrinkToFit="1"/>
    </xf>
    <xf numFmtId="168" fontId="22" fillId="14" borderId="15">
      <alignment horizontal="right" vertical="top" shrinkToFit="1"/>
    </xf>
    <xf numFmtId="168" fontId="19" fillId="14" borderId="0" applyBorder="0">
      <alignment horizontal="right" vertical="top" shrinkToFit="1"/>
    </xf>
    <xf numFmtId="168" fontId="19" fillId="14" borderId="20">
      <alignment horizontal="right" vertical="top" shrinkToFit="1"/>
    </xf>
    <xf numFmtId="168" fontId="19" fillId="14" borderId="15">
      <alignment horizontal="right" vertical="top" shrinkToFit="1"/>
    </xf>
    <xf numFmtId="170" fontId="22" fillId="14" borderId="0" applyBorder="0">
      <alignment horizontal="right" vertical="top" shrinkToFit="1"/>
    </xf>
    <xf numFmtId="170" fontId="22" fillId="14" borderId="20">
      <alignment horizontal="right" vertical="top" shrinkToFit="1"/>
    </xf>
    <xf numFmtId="170" fontId="22" fillId="14" borderId="15">
      <alignment horizontal="right" vertical="top" shrinkToFit="1"/>
    </xf>
    <xf numFmtId="165" fontId="21" fillId="14" borderId="0" applyBorder="0">
      <alignment horizontal="right" vertical="top" shrinkToFit="1"/>
    </xf>
    <xf numFmtId="165" fontId="21" fillId="14" borderId="15">
      <alignment horizontal="right" vertical="top" shrinkToFit="1"/>
    </xf>
    <xf numFmtId="4" fontId="19" fillId="14" borderId="17">
      <alignment horizontal="right" vertical="top" shrinkToFit="1"/>
    </xf>
    <xf numFmtId="4" fontId="19" fillId="14" borderId="21">
      <alignment horizontal="right" vertical="top" shrinkToFit="1"/>
    </xf>
    <xf numFmtId="4" fontId="19" fillId="14" borderId="18">
      <alignment horizontal="right" vertical="top" shrinkToFit="1"/>
    </xf>
    <xf numFmtId="173" fontId="22" fillId="14" borderId="0" applyBorder="0">
      <alignment horizontal="right" vertical="top" shrinkToFit="1"/>
    </xf>
    <xf numFmtId="173" fontId="22" fillId="14" borderId="20">
      <alignment horizontal="right" vertical="top" shrinkToFit="1"/>
    </xf>
    <xf numFmtId="173" fontId="22" fillId="14" borderId="15">
      <alignment horizontal="right" vertical="top" shrinkToFit="1"/>
    </xf>
    <xf numFmtId="173" fontId="19" fillId="14" borderId="0" applyBorder="0">
      <alignment horizontal="right" vertical="top" shrinkToFit="1"/>
    </xf>
    <xf numFmtId="173" fontId="19" fillId="14" borderId="20">
      <alignment horizontal="right" vertical="top" shrinkToFit="1"/>
    </xf>
    <xf numFmtId="173" fontId="19" fillId="14" borderId="15">
      <alignment horizontal="right" vertical="top" shrinkToFit="1"/>
    </xf>
    <xf numFmtId="173" fontId="21" fillId="14" borderId="0" applyBorder="0">
      <alignment horizontal="right" vertical="top" shrinkToFit="1"/>
    </xf>
    <xf numFmtId="173" fontId="21" fillId="14" borderId="15">
      <alignment horizontal="right" vertical="top" shrinkToFit="1"/>
    </xf>
    <xf numFmtId="165" fontId="19" fillId="14" borderId="17">
      <alignment horizontal="right" vertical="top" shrinkToFit="1"/>
    </xf>
    <xf numFmtId="165" fontId="19" fillId="14" borderId="21">
      <alignment horizontal="right" vertical="top" shrinkToFit="1"/>
    </xf>
    <xf numFmtId="165" fontId="19" fillId="14" borderId="18">
      <alignment horizontal="right" vertical="top" shrinkToFit="1"/>
    </xf>
    <xf numFmtId="164" fontId="21" fillId="14" borderId="8">
      <alignment horizontal="right" vertical="top" shrinkToFit="1"/>
    </xf>
    <xf numFmtId="164" fontId="21" fillId="14" borderId="9">
      <alignment horizontal="right" vertical="top" shrinkToFit="1"/>
    </xf>
    <xf numFmtId="164" fontId="21" fillId="14" borderId="12">
      <alignment horizontal="right" vertical="top" shrinkToFit="1"/>
    </xf>
    <xf numFmtId="164" fontId="21" fillId="14" borderId="13">
      <alignment horizontal="right" vertical="top" shrinkToFit="1"/>
    </xf>
    <xf numFmtId="169" fontId="22" fillId="14" borderId="17">
      <alignment horizontal="right" vertical="top" shrinkToFit="1"/>
    </xf>
    <xf numFmtId="169" fontId="22" fillId="14" borderId="21">
      <alignment horizontal="right" vertical="top" shrinkToFit="1"/>
    </xf>
    <xf numFmtId="169" fontId="22" fillId="14" borderId="18">
      <alignment horizontal="right" vertical="top" shrinkToFit="1"/>
    </xf>
    <xf numFmtId="3" fontId="21" fillId="14" borderId="17">
      <alignment horizontal="right" vertical="top" shrinkToFit="1"/>
    </xf>
    <xf numFmtId="3" fontId="21" fillId="14" borderId="18">
      <alignment horizontal="right" vertical="top" shrinkToFit="1"/>
    </xf>
    <xf numFmtId="0" fontId="22" fillId="14" borderId="12">
      <alignment horizontal="left" vertical="top" shrinkToFit="1"/>
    </xf>
    <xf numFmtId="171" fontId="22" fillId="14" borderId="12">
      <alignment horizontal="right" vertical="top" shrinkToFit="1"/>
    </xf>
    <xf numFmtId="0" fontId="22" fillId="14" borderId="0" applyBorder="0">
      <alignment horizontal="left" vertical="top" shrinkToFit="1"/>
    </xf>
    <xf numFmtId="171" fontId="22" fillId="14" borderId="0" applyBorder="0">
      <alignment horizontal="right" vertical="top" shrinkToFit="1"/>
    </xf>
    <xf numFmtId="0" fontId="22" fillId="14" borderId="17">
      <alignment horizontal="left" vertical="top" shrinkToFit="1"/>
    </xf>
    <xf numFmtId="171" fontId="22" fillId="14" borderId="17">
      <alignment horizontal="right" vertical="top" shrinkToFit="1"/>
    </xf>
    <xf numFmtId="4" fontId="22" fillId="14" borderId="17">
      <alignment horizontal="right" vertical="top" shrinkToFit="1"/>
    </xf>
    <xf numFmtId="169" fontId="22" fillId="14" borderId="0" applyBorder="0">
      <alignment horizontal="right" vertical="top" shrinkToFit="1"/>
    </xf>
    <xf numFmtId="169" fontId="22" fillId="14" borderId="15">
      <alignment horizontal="right" vertical="top" shrinkToFit="1"/>
    </xf>
    <xf numFmtId="171" fontId="22" fillId="14" borderId="8">
      <alignment horizontal="right" vertical="top" shrinkToFit="1"/>
    </xf>
    <xf numFmtId="167" fontId="22" fillId="14" borderId="8">
      <alignment horizontal="right" vertical="top" shrinkToFit="1"/>
    </xf>
    <xf numFmtId="167" fontId="22" fillId="15" borderId="20">
      <alignment horizontal="right" vertical="top" shrinkToFit="1"/>
      <protection locked="0"/>
    </xf>
    <xf numFmtId="0" fontId="22" fillId="14" borderId="10">
      <alignment horizontal="left" vertical="top" shrinkToFit="1"/>
    </xf>
    <xf numFmtId="0" fontId="22" fillId="14" borderId="8">
      <alignment horizontal="left" vertical="top" shrinkToFit="1"/>
    </xf>
    <xf numFmtId="0" fontId="22" fillId="2" borderId="0" applyBorder="0">
      <alignment vertical="top" shrinkToFit="1"/>
    </xf>
    <xf numFmtId="0" fontId="20" fillId="2" borderId="0" applyBorder="0">
      <alignment vertical="top" shrinkToFit="1"/>
    </xf>
    <xf numFmtId="0" fontId="22" fillId="2" borderId="0" applyBorder="0">
      <alignment horizontal="right" vertical="top" shrinkToFit="1"/>
    </xf>
    <xf numFmtId="0" fontId="21" fillId="2" borderId="0" applyBorder="0">
      <alignment vertical="top" shrinkToFit="1"/>
    </xf>
    <xf numFmtId="0" fontId="20" fillId="14" borderId="8">
      <alignment vertical="top" shrinkToFit="1"/>
    </xf>
    <xf numFmtId="0" fontId="22" fillId="14" borderId="8">
      <alignment horizontal="right" vertical="top" shrinkToFit="1"/>
    </xf>
    <xf numFmtId="0" fontId="22" fillId="14" borderId="19">
      <alignment horizontal="left" vertical="top" shrinkToFit="1"/>
    </xf>
    <xf numFmtId="0" fontId="22" fillId="14" borderId="20">
      <alignment horizontal="left" vertical="top" shrinkToFit="1"/>
    </xf>
    <xf numFmtId="0" fontId="22" fillId="14" borderId="21">
      <alignment horizontal="left" vertical="top" shrinkToFit="1"/>
    </xf>
    <xf numFmtId="3" fontId="22" fillId="14" borderId="8">
      <alignment horizontal="right" vertical="top" shrinkToFit="1"/>
    </xf>
    <xf numFmtId="3" fontId="22" fillId="14" borderId="9">
      <alignment horizontal="right" vertical="top" shrinkToFit="1"/>
    </xf>
    <xf numFmtId="4" fontId="22" fillId="14" borderId="9">
      <alignment horizontal="right" vertical="top" shrinkToFit="1"/>
    </xf>
    <xf numFmtId="4" fontId="22" fillId="14" borderId="18">
      <alignment horizontal="right" vertical="top" shrinkToFit="1"/>
    </xf>
    <xf numFmtId="173" fontId="22" fillId="14" borderId="12">
      <alignment horizontal="right" vertical="top" shrinkToFit="1"/>
    </xf>
    <xf numFmtId="173" fontId="22" fillId="14" borderId="13">
      <alignment horizontal="right" vertical="top" shrinkToFit="1"/>
    </xf>
    <xf numFmtId="173" fontId="22" fillId="14" borderId="8">
      <alignment horizontal="right" vertical="top" shrinkToFit="1"/>
    </xf>
    <xf numFmtId="173" fontId="22" fillId="14" borderId="9">
      <alignment horizontal="right" vertical="top" shrinkToFit="1"/>
    </xf>
    <xf numFmtId="171" fontId="22" fillId="14" borderId="9">
      <alignment horizontal="right" vertical="top" shrinkToFit="1"/>
    </xf>
    <xf numFmtId="167" fontId="22" fillId="14" borderId="9">
      <alignment horizontal="right" vertical="top" shrinkToFit="1"/>
    </xf>
    <xf numFmtId="168" fontId="22" fillId="14" borderId="12">
      <alignment horizontal="right" vertical="top" shrinkToFit="1"/>
    </xf>
    <xf numFmtId="168" fontId="22" fillId="14" borderId="13">
      <alignment horizontal="right" vertical="top" shrinkToFit="1"/>
    </xf>
    <xf numFmtId="168" fontId="22" fillId="14" borderId="8">
      <alignment horizontal="right" vertical="top" shrinkToFit="1"/>
    </xf>
    <xf numFmtId="168" fontId="22" fillId="14" borderId="9">
      <alignment horizontal="right" vertical="top" shrinkToFit="1"/>
    </xf>
    <xf numFmtId="166" fontId="22" fillId="14" borderId="8">
      <alignment horizontal="right" vertical="top" shrinkToFit="1"/>
    </xf>
    <xf numFmtId="166" fontId="22" fillId="14" borderId="9">
      <alignment horizontal="right" vertical="top" shrinkToFit="1"/>
    </xf>
    <xf numFmtId="172" fontId="22" fillId="14" borderId="12">
      <alignment horizontal="right" vertical="top" shrinkToFit="1"/>
    </xf>
    <xf numFmtId="172" fontId="22" fillId="14" borderId="13">
      <alignment horizontal="right" vertical="top" shrinkToFit="1"/>
    </xf>
    <xf numFmtId="172" fontId="19" fillId="14" borderId="0" applyBorder="0">
      <alignment horizontal="right" vertical="top" shrinkToFit="1"/>
    </xf>
    <xf numFmtId="172" fontId="19" fillId="14" borderId="15">
      <alignment horizontal="right" vertical="top" shrinkToFit="1"/>
    </xf>
    <xf numFmtId="172" fontId="20" fillId="14" borderId="0" applyBorder="0">
      <alignment horizontal="right" vertical="top" shrinkToFit="1"/>
    </xf>
    <xf numFmtId="172" fontId="20" fillId="14" borderId="15">
      <alignment horizontal="right" vertical="top" shrinkToFit="1"/>
    </xf>
    <xf numFmtId="172" fontId="22" fillId="14" borderId="0" applyBorder="0">
      <alignment horizontal="right" vertical="top" shrinkToFit="1"/>
    </xf>
    <xf numFmtId="172" fontId="22" fillId="14" borderId="15">
      <alignment horizontal="right" vertical="top" shrinkToFit="1"/>
    </xf>
    <xf numFmtId="172" fontId="20" fillId="14" borderId="17">
      <alignment horizontal="right" vertical="top" shrinkToFit="1"/>
    </xf>
    <xf numFmtId="172" fontId="20" fillId="14" borderId="18">
      <alignment horizontal="right" vertical="top" shrinkToFit="1"/>
    </xf>
    <xf numFmtId="166" fontId="19" fillId="14" borderId="17">
      <alignment horizontal="right" vertical="top" shrinkToFit="1"/>
    </xf>
    <xf numFmtId="166" fontId="19" fillId="14" borderId="18">
      <alignment horizontal="right" vertical="top" shrinkToFit="1"/>
    </xf>
    <xf numFmtId="169" fontId="22" fillId="14" borderId="13">
      <alignment horizontal="right" vertical="top" shrinkToFit="1"/>
    </xf>
    <xf numFmtId="169" fontId="22" fillId="14" borderId="8">
      <alignment horizontal="right" vertical="top" shrinkToFit="1"/>
    </xf>
    <xf numFmtId="169" fontId="22" fillId="14" borderId="9">
      <alignment horizontal="right" vertical="top" shrinkToFit="1"/>
    </xf>
    <xf numFmtId="0" fontId="22" fillId="14" borderId="19">
      <alignment horizontal="center" vertical="top" shrinkToFit="1"/>
    </xf>
    <xf numFmtId="0" fontId="22" fillId="14" borderId="21">
      <alignment horizontal="center" vertical="top" shrinkToFit="1"/>
    </xf>
    <xf numFmtId="3" fontId="22" fillId="14" borderId="10">
      <alignment horizontal="right" vertical="top" shrinkToFit="1"/>
    </xf>
    <xf numFmtId="4" fontId="22" fillId="14" borderId="10">
      <alignment horizontal="right" vertical="top" shrinkToFit="1"/>
    </xf>
    <xf numFmtId="169" fontId="19" fillId="14" borderId="15">
      <alignment horizontal="right" vertical="top" shrinkToFit="1"/>
    </xf>
    <xf numFmtId="168" fontId="22" fillId="14" borderId="19">
      <alignment horizontal="right" vertical="top" shrinkToFit="1"/>
    </xf>
    <xf numFmtId="168" fontId="22" fillId="14" borderId="10">
      <alignment horizontal="right" vertical="top" shrinkToFit="1"/>
    </xf>
    <xf numFmtId="171" fontId="22" fillId="14" borderId="13">
      <alignment horizontal="right" vertical="top" shrinkToFit="1"/>
    </xf>
    <xf numFmtId="171" fontId="22" fillId="14" borderId="18">
      <alignment horizontal="right" vertical="top" shrinkToFit="1"/>
    </xf>
    <xf numFmtId="173" fontId="22" fillId="14" borderId="17">
      <alignment horizontal="right" vertical="top" shrinkToFit="1"/>
    </xf>
    <xf numFmtId="173" fontId="22" fillId="14" borderId="18">
      <alignment horizontal="right" vertical="top" shrinkToFit="1"/>
    </xf>
    <xf numFmtId="172" fontId="22" fillId="14" borderId="9">
      <alignment horizontal="right" vertical="top" shrinkToFit="1"/>
    </xf>
    <xf numFmtId="0" fontId="22" fillId="14" borderId="13">
      <alignment horizontal="left" vertical="top" shrinkToFit="1"/>
    </xf>
    <xf numFmtId="0" fontId="19" fillId="14" borderId="15">
      <alignment horizontal="left" vertical="top" shrinkToFit="1"/>
    </xf>
    <xf numFmtId="0" fontId="22" fillId="14" borderId="15">
      <alignment horizontal="left" vertical="top" shrinkToFit="1"/>
    </xf>
    <xf numFmtId="0" fontId="22" fillId="14" borderId="9">
      <alignment horizontal="left" vertical="top" shrinkToFit="1"/>
    </xf>
    <xf numFmtId="0" fontId="22" fillId="14" borderId="23">
      <alignment horizontal="left" vertical="top" shrinkToFit="1"/>
    </xf>
    <xf numFmtId="0" fontId="22" fillId="14" borderId="22">
      <alignment horizontal="left" vertical="top" shrinkToFit="1"/>
    </xf>
    <xf numFmtId="0" fontId="21" fillId="14" borderId="22">
      <alignment vertical="top" shrinkToFit="1"/>
    </xf>
    <xf numFmtId="0" fontId="21" fillId="15" borderId="22">
      <alignment vertical="top" shrinkToFit="1"/>
      <protection locked="0"/>
    </xf>
    <xf numFmtId="0" fontId="22" fillId="15" borderId="22">
      <alignment vertical="top" shrinkToFit="1"/>
      <protection locked="0"/>
    </xf>
    <xf numFmtId="0" fontId="19" fillId="15" borderId="22">
      <alignment vertical="top" shrinkToFit="1"/>
      <protection locked="0"/>
    </xf>
    <xf numFmtId="0" fontId="20" fillId="15" borderId="22">
      <alignment vertical="top" shrinkToFit="1"/>
      <protection locked="0"/>
    </xf>
    <xf numFmtId="0" fontId="19" fillId="15" borderId="22">
      <alignment vertical="top" shrinkToFit="1"/>
      <protection locked="0"/>
    </xf>
    <xf numFmtId="0" fontId="20" fillId="15" borderId="22">
      <alignment vertical="top" shrinkToFit="1"/>
      <protection locked="0"/>
    </xf>
    <xf numFmtId="0" fontId="8" fillId="4" borderId="0" applyNumberFormat="0" applyBorder="0" applyAlignment="0" applyProtection="0"/>
    <xf numFmtId="0" fontId="1" fillId="0" borderId="31">
      <alignment vertical="center"/>
    </xf>
    <xf numFmtId="0" fontId="1" fillId="4" borderId="25" applyNumberFormat="0" applyFont="0" applyAlignment="0" applyProtection="0"/>
    <xf numFmtId="0" fontId="10" fillId="5" borderId="26" applyNumberFormat="0" applyAlignment="0" applyProtection="0"/>
    <xf numFmtId="0" fontId="2" fillId="0" borderId="0" applyNumberFormat="0" applyFill="0" applyBorder="0" applyAlignment="0" applyProtection="0"/>
    <xf numFmtId="0" fontId="16" fillId="0" borderId="27" applyNumberFormat="0" applyFill="0" applyAlignment="0" applyProtection="0"/>
    <xf numFmtId="0" fontId="14" fillId="0" borderId="0" applyNumberFormat="0" applyFill="0" applyBorder="0" applyAlignment="0" applyProtection="0"/>
  </cellStyleXfs>
  <cellXfs count="323">
    <xf numFmtId="0" fontId="0" fillId="0" borderId="0" xfId="0">
      <alignment vertical="center"/>
    </xf>
    <xf numFmtId="0" fontId="24" fillId="14" borderId="0" xfId="38">
      <alignment vertical="top" shrinkToFit="1"/>
    </xf>
    <xf numFmtId="0" fontId="26" fillId="14" borderId="0" xfId="43">
      <alignment vertical="top" shrinkToFit="1"/>
    </xf>
    <xf numFmtId="0" fontId="25" fillId="14" borderId="0" xfId="44">
      <alignment vertical="top" shrinkToFit="1"/>
    </xf>
    <xf numFmtId="171" fontId="0" fillId="0" borderId="0" xfId="0" applyNumberFormat="1">
      <alignment vertical="center"/>
    </xf>
    <xf numFmtId="0" fontId="25" fillId="14" borderId="7" xfId="39">
      <alignment vertical="top" shrinkToFit="1"/>
    </xf>
    <xf numFmtId="0" fontId="25" fillId="14" borderId="8" xfId="40">
      <alignment vertical="top" shrinkToFit="1"/>
    </xf>
    <xf numFmtId="0" fontId="25" fillId="14" borderId="9" xfId="41">
      <alignment vertical="top" shrinkToFit="1"/>
    </xf>
    <xf numFmtId="0" fontId="25" fillId="15" borderId="10" xfId="42">
      <alignment horizontal="left" vertical="top" shrinkToFit="1"/>
      <protection locked="0"/>
    </xf>
    <xf numFmtId="0" fontId="25" fillId="15" borderId="10" xfId="45">
      <alignment horizontal="left" vertical="top" shrinkToFit="1"/>
      <protection locked="0"/>
    </xf>
    <xf numFmtId="0" fontId="25" fillId="14" borderId="7" xfId="46">
      <alignment horizontal="center" vertical="top" shrinkToFit="1"/>
    </xf>
    <xf numFmtId="0" fontId="25" fillId="14" borderId="8" xfId="47">
      <alignment horizontal="center" vertical="top" shrinkToFit="1"/>
    </xf>
    <xf numFmtId="0" fontId="25" fillId="14" borderId="9" xfId="48">
      <alignment horizontal="center" vertical="top" shrinkToFit="1"/>
    </xf>
    <xf numFmtId="0" fontId="25" fillId="14" borderId="11" xfId="49">
      <alignment vertical="top" shrinkToFit="1"/>
    </xf>
    <xf numFmtId="0" fontId="27" fillId="14" borderId="12" xfId="50">
      <alignment vertical="top" shrinkToFit="1"/>
    </xf>
    <xf numFmtId="0" fontId="28" fillId="14" borderId="13" xfId="51">
      <alignment vertical="top" shrinkToFit="1"/>
    </xf>
    <xf numFmtId="3" fontId="24" fillId="15" borderId="12" xfId="52">
      <alignment horizontal="right" vertical="top" shrinkToFit="1"/>
      <protection locked="0"/>
    </xf>
    <xf numFmtId="3" fontId="24" fillId="15" borderId="13" xfId="53">
      <alignment horizontal="right" vertical="top" shrinkToFit="1"/>
      <protection locked="0"/>
    </xf>
    <xf numFmtId="0" fontId="25" fillId="14" borderId="14" xfId="54">
      <alignment vertical="top" shrinkToFit="1"/>
    </xf>
    <xf numFmtId="0" fontId="27" fillId="14" borderId="0" xfId="55">
      <alignment vertical="top" shrinkToFit="1"/>
    </xf>
    <xf numFmtId="0" fontId="28" fillId="14" borderId="15" xfId="56">
      <alignment vertical="top" shrinkToFit="1"/>
    </xf>
    <xf numFmtId="3" fontId="24" fillId="15" borderId="0" xfId="57">
      <alignment horizontal="right" vertical="top" shrinkToFit="1"/>
      <protection locked="0"/>
    </xf>
    <xf numFmtId="3" fontId="24" fillId="15" borderId="15" xfId="58">
      <alignment horizontal="right" vertical="top" shrinkToFit="1"/>
      <protection locked="0"/>
    </xf>
    <xf numFmtId="167" fontId="24" fillId="15" borderId="0" xfId="59">
      <alignment horizontal="right" vertical="top" shrinkToFit="1"/>
      <protection locked="0"/>
    </xf>
    <xf numFmtId="167" fontId="24" fillId="15" borderId="15" xfId="60">
      <alignment horizontal="right" vertical="top" shrinkToFit="1"/>
      <protection locked="0"/>
    </xf>
    <xf numFmtId="0" fontId="25" fillId="14" borderId="16" xfId="61">
      <alignment vertical="top" shrinkToFit="1"/>
    </xf>
    <xf numFmtId="0" fontId="27" fillId="14" borderId="17" xfId="62">
      <alignment vertical="top" shrinkToFit="1"/>
    </xf>
    <xf numFmtId="0" fontId="28" fillId="14" borderId="18" xfId="63">
      <alignment vertical="top" shrinkToFit="1"/>
    </xf>
    <xf numFmtId="167" fontId="24" fillId="15" borderId="17" xfId="64">
      <alignment horizontal="right" vertical="top" shrinkToFit="1"/>
      <protection locked="0"/>
    </xf>
    <xf numFmtId="167" fontId="24" fillId="15" borderId="18" xfId="65">
      <alignment horizontal="right" vertical="top" shrinkToFit="1"/>
      <protection locked="0"/>
    </xf>
    <xf numFmtId="0" fontId="27" fillId="14" borderId="13" xfId="66">
      <alignment vertical="top" shrinkToFit="1"/>
    </xf>
    <xf numFmtId="166" fontId="27" fillId="15" borderId="12" xfId="67">
      <alignment horizontal="right" vertical="top" shrinkToFit="1"/>
      <protection locked="0"/>
    </xf>
    <xf numFmtId="166" fontId="27" fillId="15" borderId="13" xfId="68">
      <alignment horizontal="right" vertical="top" shrinkToFit="1"/>
      <protection locked="0"/>
    </xf>
    <xf numFmtId="0" fontId="27" fillId="14" borderId="15" xfId="69">
      <alignment vertical="top" shrinkToFit="1"/>
    </xf>
    <xf numFmtId="166" fontId="27" fillId="15" borderId="0" xfId="70">
      <alignment horizontal="right" vertical="top" shrinkToFit="1"/>
      <protection locked="0"/>
    </xf>
    <xf numFmtId="166" fontId="27" fillId="15" borderId="15" xfId="71">
      <alignment horizontal="right" vertical="top" shrinkToFit="1"/>
      <protection locked="0"/>
    </xf>
    <xf numFmtId="170" fontId="27" fillId="14" borderId="12" xfId="72">
      <alignment horizontal="right" vertical="top" shrinkToFit="1"/>
    </xf>
    <xf numFmtId="170" fontId="27" fillId="15" borderId="12" xfId="73">
      <alignment horizontal="right" vertical="top" shrinkToFit="1"/>
      <protection locked="0"/>
    </xf>
    <xf numFmtId="170" fontId="27" fillId="15" borderId="13" xfId="74">
      <alignment horizontal="right" vertical="top" shrinkToFit="1"/>
      <protection locked="0"/>
    </xf>
    <xf numFmtId="170" fontId="27" fillId="14" borderId="0" xfId="75">
      <alignment horizontal="right" vertical="top" shrinkToFit="1"/>
    </xf>
    <xf numFmtId="170" fontId="27" fillId="15" borderId="0" xfId="76">
      <alignment horizontal="right" vertical="top" shrinkToFit="1"/>
      <protection locked="0"/>
    </xf>
    <xf numFmtId="170" fontId="27" fillId="15" borderId="15" xfId="77">
      <alignment horizontal="right" vertical="top" shrinkToFit="1"/>
      <protection locked="0"/>
    </xf>
    <xf numFmtId="0" fontId="25" fillId="14" borderId="17" xfId="78">
      <alignment vertical="top" shrinkToFit="1"/>
    </xf>
    <xf numFmtId="0" fontId="25" fillId="14" borderId="18" xfId="79">
      <alignment vertical="top" shrinkToFit="1"/>
    </xf>
    <xf numFmtId="166" fontId="25" fillId="15" borderId="17" xfId="80">
      <alignment horizontal="right" vertical="top" shrinkToFit="1"/>
      <protection locked="0"/>
    </xf>
    <xf numFmtId="166" fontId="25" fillId="15" borderId="18" xfId="81">
      <alignment horizontal="right" vertical="top" shrinkToFit="1"/>
      <protection locked="0"/>
    </xf>
    <xf numFmtId="0" fontId="27" fillId="14" borderId="18" xfId="82">
      <alignment vertical="top" shrinkToFit="1"/>
    </xf>
    <xf numFmtId="166" fontId="27" fillId="15" borderId="17" xfId="83">
      <alignment horizontal="right" vertical="top" shrinkToFit="1"/>
      <protection locked="0"/>
    </xf>
    <xf numFmtId="166" fontId="27" fillId="15" borderId="18" xfId="84">
      <alignment horizontal="right" vertical="top" shrinkToFit="1"/>
      <protection locked="0"/>
    </xf>
    <xf numFmtId="4" fontId="24" fillId="15" borderId="12" xfId="85">
      <alignment horizontal="right" vertical="top" shrinkToFit="1"/>
      <protection locked="0"/>
    </xf>
    <xf numFmtId="4" fontId="24" fillId="15" borderId="13" xfId="86">
      <alignment horizontal="right" vertical="top" shrinkToFit="1"/>
      <protection locked="0"/>
    </xf>
    <xf numFmtId="4" fontId="24" fillId="15" borderId="0" xfId="87">
      <alignment horizontal="right" vertical="top" shrinkToFit="1"/>
      <protection locked="0"/>
    </xf>
    <xf numFmtId="4" fontId="24" fillId="15" borderId="15" xfId="88">
      <alignment horizontal="right" vertical="top" shrinkToFit="1"/>
      <protection locked="0"/>
    </xf>
    <xf numFmtId="4" fontId="24" fillId="15" borderId="17" xfId="89">
      <alignment horizontal="right" vertical="top" shrinkToFit="1"/>
      <protection locked="0"/>
    </xf>
    <xf numFmtId="4" fontId="24" fillId="15" borderId="18" xfId="90">
      <alignment horizontal="right" vertical="top" shrinkToFit="1"/>
      <protection locked="0"/>
    </xf>
    <xf numFmtId="165" fontId="27" fillId="15" borderId="12" xfId="91">
      <alignment horizontal="right" vertical="top" shrinkToFit="1"/>
      <protection locked="0"/>
    </xf>
    <xf numFmtId="165" fontId="27" fillId="15" borderId="13" xfId="92">
      <alignment horizontal="right" vertical="top" shrinkToFit="1"/>
      <protection locked="0"/>
    </xf>
    <xf numFmtId="165" fontId="27" fillId="15" borderId="17" xfId="93">
      <alignment horizontal="right" vertical="top" shrinkToFit="1"/>
      <protection locked="0"/>
    </xf>
    <xf numFmtId="165" fontId="27" fillId="15" borderId="18" xfId="94">
      <alignment horizontal="right" vertical="top" shrinkToFit="1"/>
      <protection locked="0"/>
    </xf>
    <xf numFmtId="167" fontId="25" fillId="15" borderId="8" xfId="95">
      <alignment horizontal="right" vertical="top" shrinkToFit="1"/>
      <protection locked="0"/>
    </xf>
    <xf numFmtId="167" fontId="25" fillId="15" borderId="9" xfId="96">
      <alignment horizontal="right" vertical="top" shrinkToFit="1"/>
      <protection locked="0"/>
    </xf>
    <xf numFmtId="167" fontId="24" fillId="15" borderId="12" xfId="97">
      <alignment horizontal="right" vertical="top" shrinkToFit="1"/>
      <protection locked="0"/>
    </xf>
    <xf numFmtId="167" fontId="24" fillId="15" borderId="13" xfId="98">
      <alignment horizontal="right" vertical="top" shrinkToFit="1"/>
      <protection locked="0"/>
    </xf>
    <xf numFmtId="0" fontId="25" fillId="14" borderId="12" xfId="99">
      <alignment vertical="top" shrinkToFit="1"/>
    </xf>
    <xf numFmtId="0" fontId="25" fillId="14" borderId="13" xfId="100">
      <alignment vertical="top" shrinkToFit="1"/>
    </xf>
    <xf numFmtId="167" fontId="25" fillId="15" borderId="12" xfId="101">
      <alignment horizontal="right" vertical="top" shrinkToFit="1"/>
      <protection locked="0"/>
    </xf>
    <xf numFmtId="167" fontId="25" fillId="15" borderId="13" xfId="102">
      <alignment horizontal="right" vertical="top" shrinkToFit="1"/>
      <protection locked="0"/>
    </xf>
    <xf numFmtId="167" fontId="25" fillId="15" borderId="17" xfId="103">
      <alignment horizontal="right" vertical="top" shrinkToFit="1"/>
      <protection locked="0"/>
    </xf>
    <xf numFmtId="167" fontId="25" fillId="15" borderId="18" xfId="104">
      <alignment horizontal="right" vertical="top" shrinkToFit="1"/>
      <protection locked="0"/>
    </xf>
    <xf numFmtId="170" fontId="25" fillId="15" borderId="12" xfId="105">
      <alignment horizontal="right" vertical="top" shrinkToFit="1"/>
      <protection locked="0"/>
    </xf>
    <xf numFmtId="170" fontId="25" fillId="15" borderId="13" xfId="106">
      <alignment horizontal="right" vertical="top" shrinkToFit="1"/>
      <protection locked="0"/>
    </xf>
    <xf numFmtId="0" fontId="25" fillId="14" borderId="15" xfId="107">
      <alignment vertical="top" shrinkToFit="1"/>
    </xf>
    <xf numFmtId="165" fontId="25" fillId="15" borderId="0" xfId="108">
      <alignment horizontal="right" vertical="top" shrinkToFit="1"/>
      <protection locked="0"/>
    </xf>
    <xf numFmtId="165" fontId="25" fillId="15" borderId="15" xfId="109">
      <alignment horizontal="right" vertical="top" shrinkToFit="1"/>
      <protection locked="0"/>
    </xf>
    <xf numFmtId="166" fontId="25" fillId="15" borderId="0" xfId="110">
      <alignment horizontal="right" vertical="top" shrinkToFit="1"/>
      <protection locked="0"/>
    </xf>
    <xf numFmtId="166" fontId="25" fillId="15" borderId="15" xfId="111">
      <alignment horizontal="right" vertical="top" shrinkToFit="1"/>
      <protection locked="0"/>
    </xf>
    <xf numFmtId="164" fontId="25" fillId="15" borderId="17" xfId="112">
      <alignment horizontal="right" vertical="top" shrinkToFit="1"/>
      <protection locked="0"/>
    </xf>
    <xf numFmtId="164" fontId="25" fillId="15" borderId="18" xfId="113">
      <alignment horizontal="right" vertical="top" shrinkToFit="1"/>
      <protection locked="0"/>
    </xf>
    <xf numFmtId="164" fontId="24" fillId="15" borderId="12" xfId="114">
      <alignment horizontal="right" vertical="top" shrinkToFit="1"/>
      <protection locked="0"/>
    </xf>
    <xf numFmtId="164" fontId="24" fillId="15" borderId="13" xfId="115">
      <alignment horizontal="right" vertical="top" shrinkToFit="1"/>
      <protection locked="0"/>
    </xf>
    <xf numFmtId="164" fontId="24" fillId="15" borderId="17" xfId="116">
      <alignment horizontal="right" vertical="top" shrinkToFit="1"/>
      <protection locked="0"/>
    </xf>
    <xf numFmtId="164" fontId="24" fillId="15" borderId="18" xfId="117">
      <alignment horizontal="right" vertical="top" shrinkToFit="1"/>
      <protection locked="0"/>
    </xf>
    <xf numFmtId="166" fontId="24" fillId="15" borderId="12" xfId="118">
      <alignment horizontal="right" vertical="top" shrinkToFit="1"/>
      <protection locked="0"/>
    </xf>
    <xf numFmtId="166" fontId="24" fillId="15" borderId="13" xfId="119">
      <alignment horizontal="right" vertical="top" shrinkToFit="1"/>
      <protection locked="0"/>
    </xf>
    <xf numFmtId="166" fontId="24" fillId="15" borderId="0" xfId="120">
      <alignment horizontal="right" vertical="top" shrinkToFit="1"/>
      <protection locked="0"/>
    </xf>
    <xf numFmtId="166" fontId="24" fillId="15" borderId="15" xfId="121">
      <alignment horizontal="right" vertical="top" shrinkToFit="1"/>
      <protection locked="0"/>
    </xf>
    <xf numFmtId="166" fontId="24" fillId="15" borderId="17" xfId="122">
      <alignment horizontal="right" vertical="top" shrinkToFit="1"/>
      <protection locked="0"/>
    </xf>
    <xf numFmtId="166" fontId="24" fillId="15" borderId="18" xfId="123">
      <alignment horizontal="right" vertical="top" shrinkToFit="1"/>
      <protection locked="0"/>
    </xf>
    <xf numFmtId="167" fontId="25" fillId="15" borderId="0" xfId="124">
      <alignment horizontal="right" vertical="top" shrinkToFit="1"/>
      <protection locked="0"/>
    </xf>
    <xf numFmtId="167" fontId="25" fillId="15" borderId="15" xfId="125">
      <alignment horizontal="right" vertical="top" shrinkToFit="1"/>
      <protection locked="0"/>
    </xf>
    <xf numFmtId="165" fontId="25" fillId="15" borderId="19" xfId="126">
      <alignment horizontal="right" vertical="top" shrinkToFit="1"/>
      <protection locked="0"/>
    </xf>
    <xf numFmtId="0" fontId="25" fillId="14" borderId="10" xfId="127">
      <alignment vertical="top" shrinkToFit="1"/>
    </xf>
    <xf numFmtId="3" fontId="25" fillId="15" borderId="8" xfId="128">
      <alignment horizontal="right" vertical="top" shrinkToFit="1"/>
      <protection locked="0"/>
    </xf>
    <xf numFmtId="3" fontId="25" fillId="15" borderId="9" xfId="129">
      <alignment horizontal="right" vertical="top" shrinkToFit="1"/>
      <protection locked="0"/>
    </xf>
    <xf numFmtId="0" fontId="25" fillId="14" borderId="10" xfId="130">
      <alignment horizontal="center" vertical="top" shrinkToFit="1"/>
    </xf>
    <xf numFmtId="4" fontId="25" fillId="15" borderId="9" xfId="131">
      <alignment horizontal="right" vertical="top" shrinkToFit="1"/>
      <protection locked="0"/>
    </xf>
    <xf numFmtId="165" fontId="25" fillId="15" borderId="12" xfId="132">
      <alignment horizontal="right" vertical="top" shrinkToFit="1"/>
      <protection locked="0"/>
    </xf>
    <xf numFmtId="3" fontId="25" fillId="15" borderId="13" xfId="133">
      <alignment horizontal="right" vertical="top" shrinkToFit="1"/>
      <protection locked="0"/>
    </xf>
    <xf numFmtId="165" fontId="25" fillId="15" borderId="17" xfId="134">
      <alignment horizontal="right" vertical="top" shrinkToFit="1"/>
      <protection locked="0"/>
    </xf>
    <xf numFmtId="3" fontId="25" fillId="15" borderId="18" xfId="135">
      <alignment horizontal="right" vertical="top" shrinkToFit="1"/>
      <protection locked="0"/>
    </xf>
    <xf numFmtId="3" fontId="25" fillId="15" borderId="12" xfId="136">
      <alignment horizontal="right" vertical="top" shrinkToFit="1"/>
      <protection locked="0"/>
    </xf>
    <xf numFmtId="3" fontId="27" fillId="15" borderId="0" xfId="137">
      <alignment horizontal="right" vertical="top" shrinkToFit="1"/>
      <protection locked="0"/>
    </xf>
    <xf numFmtId="3" fontId="27" fillId="15" borderId="15" xfId="138">
      <alignment horizontal="right" vertical="top" shrinkToFit="1"/>
      <protection locked="0"/>
    </xf>
    <xf numFmtId="3" fontId="27" fillId="15" borderId="17" xfId="139">
      <alignment horizontal="right" vertical="top" shrinkToFit="1"/>
      <protection locked="0"/>
    </xf>
    <xf numFmtId="3" fontId="27" fillId="15" borderId="18" xfId="140">
      <alignment horizontal="right" vertical="top" shrinkToFit="1"/>
      <protection locked="0"/>
    </xf>
    <xf numFmtId="165" fontId="25" fillId="15" borderId="10" xfId="141">
      <alignment horizontal="right" vertical="top" shrinkToFit="1"/>
      <protection locked="0"/>
    </xf>
    <xf numFmtId="169" fontId="25" fillId="15" borderId="8" xfId="142">
      <alignment horizontal="right" vertical="top" shrinkToFit="1"/>
      <protection locked="0"/>
    </xf>
    <xf numFmtId="169" fontId="25" fillId="15" borderId="9" xfId="143">
      <alignment horizontal="right" vertical="top" shrinkToFit="1"/>
      <protection locked="0"/>
    </xf>
    <xf numFmtId="0" fontId="25" fillId="15" borderId="8" xfId="144">
      <alignment horizontal="left" vertical="top" shrinkToFit="1"/>
      <protection locked="0"/>
    </xf>
    <xf numFmtId="171" fontId="25" fillId="15" borderId="8" xfId="145">
      <alignment horizontal="right" vertical="top" shrinkToFit="1"/>
      <protection locked="0"/>
    </xf>
    <xf numFmtId="165" fontId="25" fillId="15" borderId="8" xfId="146">
      <alignment horizontal="right" vertical="top" shrinkToFit="1"/>
      <protection locked="0"/>
    </xf>
    <xf numFmtId="4" fontId="25" fillId="15" borderId="8" xfId="147">
      <alignment horizontal="right" vertical="top" shrinkToFit="1"/>
      <protection locked="0"/>
    </xf>
    <xf numFmtId="165" fontId="25" fillId="15" borderId="9" xfId="148">
      <alignment horizontal="right" vertical="top" shrinkToFit="1"/>
      <protection locked="0"/>
    </xf>
    <xf numFmtId="165" fontId="25" fillId="15" borderId="20" xfId="149">
      <alignment horizontal="right" vertical="top" shrinkToFit="1"/>
      <protection locked="0"/>
    </xf>
    <xf numFmtId="169" fontId="27" fillId="14" borderId="12" xfId="150">
      <alignment horizontal="right" vertical="top" shrinkToFit="1"/>
    </xf>
    <xf numFmtId="169" fontId="27" fillId="15" borderId="12" xfId="151">
      <alignment horizontal="right" vertical="top" shrinkToFit="1"/>
      <protection locked="0"/>
    </xf>
    <xf numFmtId="169" fontId="27" fillId="15" borderId="13" xfId="152">
      <alignment horizontal="right" vertical="top" shrinkToFit="1"/>
      <protection locked="0"/>
    </xf>
    <xf numFmtId="169" fontId="27" fillId="14" borderId="0" xfId="153">
      <alignment horizontal="right" vertical="top" shrinkToFit="1"/>
    </xf>
    <xf numFmtId="169" fontId="27" fillId="15" borderId="0" xfId="154">
      <alignment horizontal="right" vertical="top" shrinkToFit="1"/>
      <protection locked="0"/>
    </xf>
    <xf numFmtId="169" fontId="27" fillId="15" borderId="15" xfId="155">
      <alignment horizontal="right" vertical="top" shrinkToFit="1"/>
      <protection locked="0"/>
    </xf>
    <xf numFmtId="169" fontId="27" fillId="14" borderId="17" xfId="156">
      <alignment horizontal="right" vertical="top" shrinkToFit="1"/>
    </xf>
    <xf numFmtId="169" fontId="27" fillId="15" borderId="17" xfId="157">
      <alignment horizontal="right" vertical="top" shrinkToFit="1"/>
      <protection locked="0"/>
    </xf>
    <xf numFmtId="169" fontId="27" fillId="15" borderId="18" xfId="158">
      <alignment horizontal="right" vertical="top" shrinkToFit="1"/>
      <protection locked="0"/>
    </xf>
    <xf numFmtId="164" fontId="25" fillId="15" borderId="8" xfId="159">
      <alignment horizontal="right" vertical="top" shrinkToFit="1"/>
      <protection locked="0"/>
    </xf>
    <xf numFmtId="164" fontId="25" fillId="15" borderId="9" xfId="160">
      <alignment horizontal="right" vertical="top" shrinkToFit="1"/>
      <protection locked="0"/>
    </xf>
    <xf numFmtId="164" fontId="25" fillId="15" borderId="12" xfId="161">
      <alignment horizontal="right" vertical="top" shrinkToFit="1"/>
      <protection locked="0"/>
    </xf>
    <xf numFmtId="164" fontId="25" fillId="15" borderId="13" xfId="162">
      <alignment horizontal="right" vertical="top" shrinkToFit="1"/>
      <protection locked="0"/>
    </xf>
    <xf numFmtId="164" fontId="25" fillId="14" borderId="17" xfId="163">
      <alignment horizontal="right" vertical="top" shrinkToFit="1"/>
    </xf>
    <xf numFmtId="0" fontId="25" fillId="14" borderId="19" xfId="164">
      <alignment vertical="top" shrinkToFit="1"/>
    </xf>
    <xf numFmtId="164" fontId="24" fillId="14" borderId="12" xfId="165">
      <alignment horizontal="right" vertical="top" shrinkToFit="1"/>
    </xf>
    <xf numFmtId="164" fontId="25" fillId="14" borderId="19" xfId="166">
      <alignment horizontal="right" vertical="top" shrinkToFit="1"/>
    </xf>
    <xf numFmtId="0" fontId="25" fillId="14" borderId="21" xfId="167">
      <alignment vertical="top" shrinkToFit="1"/>
    </xf>
    <xf numFmtId="167" fontId="24" fillId="14" borderId="17" xfId="168">
      <alignment horizontal="right" vertical="top" shrinkToFit="1"/>
    </xf>
    <xf numFmtId="167" fontId="25" fillId="14" borderId="21" xfId="169">
      <alignment horizontal="right" vertical="top" shrinkToFit="1"/>
    </xf>
    <xf numFmtId="0" fontId="25" fillId="14" borderId="20" xfId="170">
      <alignment vertical="top" shrinkToFit="1"/>
    </xf>
    <xf numFmtId="164" fontId="24" fillId="14" borderId="0" xfId="171">
      <alignment horizontal="right" vertical="top" shrinkToFit="1"/>
    </xf>
    <xf numFmtId="164" fontId="25" fillId="14" borderId="20" xfId="172">
      <alignment horizontal="right" vertical="top" shrinkToFit="1"/>
    </xf>
    <xf numFmtId="165" fontId="24" fillId="14" borderId="0" xfId="173">
      <alignment horizontal="right" vertical="top" shrinkToFit="1"/>
    </xf>
    <xf numFmtId="165" fontId="25" fillId="14" borderId="20" xfId="174">
      <alignment horizontal="right" vertical="top" shrinkToFit="1"/>
    </xf>
    <xf numFmtId="164" fontId="24" fillId="14" borderId="8" xfId="175">
      <alignment horizontal="right" vertical="top" shrinkToFit="1"/>
    </xf>
    <xf numFmtId="164" fontId="25" fillId="14" borderId="10" xfId="176">
      <alignment horizontal="right" vertical="top" shrinkToFit="1"/>
    </xf>
    <xf numFmtId="164" fontId="25" fillId="14" borderId="12" xfId="177">
      <alignment horizontal="right" vertical="top" shrinkToFit="1"/>
    </xf>
    <xf numFmtId="0" fontId="27" fillId="14" borderId="20" xfId="178">
      <alignment vertical="top" shrinkToFit="1"/>
    </xf>
    <xf numFmtId="164" fontId="27" fillId="14" borderId="0" xfId="179">
      <alignment horizontal="right" vertical="top" shrinkToFit="1"/>
    </xf>
    <xf numFmtId="0" fontId="28" fillId="14" borderId="20" xfId="180">
      <alignment vertical="top" shrinkToFit="1"/>
    </xf>
    <xf numFmtId="164" fontId="25" fillId="14" borderId="0" xfId="181">
      <alignment horizontal="right" vertical="top" shrinkToFit="1"/>
    </xf>
    <xf numFmtId="164" fontId="25" fillId="14" borderId="21" xfId="182">
      <alignment horizontal="right" vertical="top" shrinkToFit="1"/>
    </xf>
    <xf numFmtId="165" fontId="25" fillId="14" borderId="8" xfId="183">
      <alignment horizontal="right" vertical="top" shrinkToFit="1"/>
    </xf>
    <xf numFmtId="165" fontId="25" fillId="14" borderId="10" xfId="184">
      <alignment horizontal="right" vertical="top" shrinkToFit="1"/>
    </xf>
    <xf numFmtId="164" fontId="25" fillId="14" borderId="8" xfId="185">
      <alignment horizontal="right" vertical="top" shrinkToFit="1"/>
    </xf>
    <xf numFmtId="167" fontId="24" fillId="14" borderId="12" xfId="186">
      <alignment horizontal="right" vertical="top" shrinkToFit="1"/>
    </xf>
    <xf numFmtId="167" fontId="25" fillId="14" borderId="19" xfId="187">
      <alignment horizontal="right" vertical="top" shrinkToFit="1"/>
    </xf>
    <xf numFmtId="167" fontId="24" fillId="14" borderId="0" xfId="188">
      <alignment horizontal="right" vertical="top" shrinkToFit="1"/>
    </xf>
    <xf numFmtId="167" fontId="25" fillId="14" borderId="20" xfId="189">
      <alignment horizontal="right" vertical="top" shrinkToFit="1"/>
    </xf>
    <xf numFmtId="4" fontId="24" fillId="14" borderId="12" xfId="190">
      <alignment horizontal="right" vertical="top" shrinkToFit="1"/>
    </xf>
    <xf numFmtId="4" fontId="25" fillId="14" borderId="19" xfId="191">
      <alignment horizontal="right" vertical="top" shrinkToFit="1"/>
    </xf>
    <xf numFmtId="4" fontId="24" fillId="14" borderId="17" xfId="192">
      <alignment horizontal="right" vertical="top" shrinkToFit="1"/>
    </xf>
    <xf numFmtId="4" fontId="25" fillId="14" borderId="21" xfId="193">
      <alignment horizontal="right" vertical="top" shrinkToFit="1"/>
    </xf>
    <xf numFmtId="4" fontId="24" fillId="14" borderId="0" xfId="194">
      <alignment horizontal="right" vertical="top" shrinkToFit="1"/>
    </xf>
    <xf numFmtId="4" fontId="25" fillId="14" borderId="20" xfId="195">
      <alignment horizontal="right" vertical="top" shrinkToFit="1"/>
    </xf>
    <xf numFmtId="164" fontId="24" fillId="14" borderId="17" xfId="196">
      <alignment horizontal="right" vertical="top" shrinkToFit="1"/>
    </xf>
    <xf numFmtId="167" fontId="25" fillId="14" borderId="8" xfId="197">
      <alignment horizontal="right" vertical="top" shrinkToFit="1"/>
    </xf>
    <xf numFmtId="167" fontId="25" fillId="14" borderId="10" xfId="198">
      <alignment horizontal="right" vertical="top" shrinkToFit="1"/>
    </xf>
    <xf numFmtId="0" fontId="27" fillId="14" borderId="21" xfId="199">
      <alignment vertical="top" shrinkToFit="1"/>
    </xf>
    <xf numFmtId="164" fontId="27" fillId="14" borderId="17" xfId="200">
      <alignment horizontal="right" vertical="top" shrinkToFit="1"/>
    </xf>
    <xf numFmtId="167" fontId="25" fillId="14" borderId="12" xfId="201">
      <alignment horizontal="right" vertical="top" shrinkToFit="1"/>
    </xf>
    <xf numFmtId="167" fontId="27" fillId="14" borderId="0" xfId="202">
      <alignment horizontal="right" vertical="top" shrinkToFit="1"/>
    </xf>
    <xf numFmtId="167" fontId="25" fillId="14" borderId="0" xfId="203">
      <alignment horizontal="right" vertical="top" shrinkToFit="1"/>
    </xf>
    <xf numFmtId="167" fontId="25" fillId="14" borderId="17" xfId="204">
      <alignment horizontal="right" vertical="top" shrinkToFit="1"/>
    </xf>
    <xf numFmtId="3" fontId="25" fillId="14" borderId="12" xfId="205">
      <alignment horizontal="right" vertical="top" shrinkToFit="1"/>
    </xf>
    <xf numFmtId="3" fontId="25" fillId="14" borderId="19" xfId="206">
      <alignment horizontal="right" vertical="top" shrinkToFit="1"/>
    </xf>
    <xf numFmtId="3" fontId="27" fillId="14" borderId="0" xfId="207">
      <alignment horizontal="right" vertical="top" shrinkToFit="1"/>
    </xf>
    <xf numFmtId="3" fontId="25" fillId="14" borderId="20" xfId="208">
      <alignment horizontal="right" vertical="top" shrinkToFit="1"/>
    </xf>
    <xf numFmtId="3" fontId="24" fillId="14" borderId="0" xfId="209">
      <alignment horizontal="right" vertical="top" shrinkToFit="1"/>
    </xf>
    <xf numFmtId="3" fontId="25" fillId="14" borderId="0" xfId="210">
      <alignment horizontal="right" vertical="top" shrinkToFit="1"/>
    </xf>
    <xf numFmtId="3" fontId="27" fillId="14" borderId="17" xfId="211">
      <alignment horizontal="right" vertical="top" shrinkToFit="1"/>
    </xf>
    <xf numFmtId="3" fontId="25" fillId="14" borderId="21" xfId="212">
      <alignment horizontal="right" vertical="top" shrinkToFit="1"/>
    </xf>
    <xf numFmtId="3" fontId="25" fillId="14" borderId="17" xfId="213">
      <alignment horizontal="right" vertical="top" shrinkToFit="1"/>
    </xf>
    <xf numFmtId="166" fontId="25" fillId="14" borderId="12" xfId="214">
      <alignment horizontal="right" vertical="top" shrinkToFit="1"/>
    </xf>
    <xf numFmtId="166" fontId="25" fillId="14" borderId="19" xfId="215">
      <alignment horizontal="right" vertical="top" shrinkToFit="1"/>
    </xf>
    <xf numFmtId="166" fontId="27" fillId="14" borderId="0" xfId="216">
      <alignment horizontal="right" vertical="top" shrinkToFit="1"/>
    </xf>
    <xf numFmtId="166" fontId="25" fillId="14" borderId="20" xfId="217">
      <alignment horizontal="right" vertical="top" shrinkToFit="1"/>
    </xf>
    <xf numFmtId="166" fontId="25" fillId="14" borderId="0" xfId="218">
      <alignment horizontal="right" vertical="top" shrinkToFit="1"/>
    </xf>
    <xf numFmtId="166" fontId="24" fillId="14" borderId="0" xfId="219">
      <alignment horizontal="right" vertical="top" shrinkToFit="1"/>
    </xf>
    <xf numFmtId="167" fontId="27" fillId="14" borderId="17" xfId="220">
      <alignment horizontal="right" vertical="top" shrinkToFit="1"/>
    </xf>
    <xf numFmtId="164" fontId="28" fillId="14" borderId="0" xfId="221">
      <alignment horizontal="right" vertical="top" shrinkToFit="1"/>
    </xf>
    <xf numFmtId="0" fontId="28" fillId="14" borderId="21" xfId="222">
      <alignment vertical="top" shrinkToFit="1"/>
    </xf>
    <xf numFmtId="164" fontId="28" fillId="14" borderId="17" xfId="223">
      <alignment horizontal="right" vertical="top" shrinkToFit="1"/>
    </xf>
    <xf numFmtId="165" fontId="25" fillId="14" borderId="12" xfId="224">
      <alignment horizontal="right" vertical="top" shrinkToFit="1"/>
    </xf>
    <xf numFmtId="165" fontId="25" fillId="14" borderId="19" xfId="225">
      <alignment horizontal="right" vertical="top" shrinkToFit="1"/>
    </xf>
    <xf numFmtId="165" fontId="27" fillId="14" borderId="0" xfId="226">
      <alignment horizontal="right" vertical="top" shrinkToFit="1"/>
    </xf>
    <xf numFmtId="165" fontId="25" fillId="14" borderId="0" xfId="227">
      <alignment horizontal="right" vertical="top" shrinkToFit="1"/>
    </xf>
    <xf numFmtId="170" fontId="25" fillId="14" borderId="0" xfId="228">
      <alignment horizontal="right" vertical="top" shrinkToFit="1"/>
    </xf>
    <xf numFmtId="170" fontId="25" fillId="14" borderId="20" xfId="229">
      <alignment horizontal="right" vertical="top" shrinkToFit="1"/>
    </xf>
    <xf numFmtId="166" fontId="25" fillId="14" borderId="17" xfId="230">
      <alignment horizontal="right" vertical="top" shrinkToFit="1"/>
    </xf>
    <xf numFmtId="166" fontId="25" fillId="14" borderId="21" xfId="231">
      <alignment horizontal="right" vertical="top" shrinkToFit="1"/>
    </xf>
    <xf numFmtId="4" fontId="25" fillId="14" borderId="12" xfId="232">
      <alignment horizontal="right" vertical="top" shrinkToFit="1"/>
    </xf>
    <xf numFmtId="4" fontId="27" fillId="14" borderId="0" xfId="233">
      <alignment horizontal="right" vertical="top" shrinkToFit="1"/>
    </xf>
    <xf numFmtId="4" fontId="25" fillId="14" borderId="0" xfId="234">
      <alignment horizontal="right" vertical="top" shrinkToFit="1"/>
    </xf>
    <xf numFmtId="4" fontId="27" fillId="14" borderId="17" xfId="235">
      <alignment horizontal="right" vertical="top" shrinkToFit="1"/>
    </xf>
    <xf numFmtId="173" fontId="25" fillId="14" borderId="0" xfId="236">
      <alignment horizontal="right" vertical="top" shrinkToFit="1"/>
    </xf>
    <xf numFmtId="173" fontId="25" fillId="14" borderId="20" xfId="237">
      <alignment horizontal="right" vertical="top" shrinkToFit="1"/>
    </xf>
    <xf numFmtId="173" fontId="27" fillId="14" borderId="0" xfId="238">
      <alignment horizontal="right" vertical="top" shrinkToFit="1"/>
    </xf>
    <xf numFmtId="173" fontId="24" fillId="14" borderId="0" xfId="239">
      <alignment horizontal="right" vertical="top" shrinkToFit="1"/>
    </xf>
    <xf numFmtId="165" fontId="27" fillId="14" borderId="17" xfId="240">
      <alignment horizontal="right" vertical="top" shrinkToFit="1"/>
    </xf>
    <xf numFmtId="165" fontId="25" fillId="14" borderId="21" xfId="241">
      <alignment horizontal="right" vertical="top" shrinkToFit="1"/>
    </xf>
    <xf numFmtId="169" fontId="25" fillId="14" borderId="17" xfId="242">
      <alignment horizontal="right" vertical="top" shrinkToFit="1"/>
    </xf>
    <xf numFmtId="169" fontId="25" fillId="14" borderId="21" xfId="243">
      <alignment horizontal="right" vertical="top" shrinkToFit="1"/>
    </xf>
    <xf numFmtId="3" fontId="24" fillId="14" borderId="17" xfId="244">
      <alignment horizontal="right" vertical="top" shrinkToFit="1"/>
    </xf>
    <xf numFmtId="0" fontId="25" fillId="14" borderId="8" xfId="245">
      <alignment horizontal="left" vertical="top" shrinkToFit="1"/>
    </xf>
    <xf numFmtId="171" fontId="25" fillId="14" borderId="8" xfId="246">
      <alignment horizontal="right" vertical="top" shrinkToFit="1"/>
    </xf>
    <xf numFmtId="4" fontId="25" fillId="14" borderId="8" xfId="247">
      <alignment horizontal="right" vertical="top" shrinkToFit="1"/>
    </xf>
    <xf numFmtId="165" fontId="25" fillId="14" borderId="9" xfId="248">
      <alignment horizontal="right" vertical="top" shrinkToFit="1"/>
    </xf>
    <xf numFmtId="169" fontId="25" fillId="14" borderId="0" xfId="249">
      <alignment horizontal="right" vertical="top" shrinkToFit="1"/>
    </xf>
    <xf numFmtId="169" fontId="25" fillId="14" borderId="20" xfId="250">
      <alignment horizontal="right" vertical="top" shrinkToFit="1"/>
    </xf>
    <xf numFmtId="169" fontId="24" fillId="14" borderId="0" xfId="251">
      <alignment horizontal="right" vertical="top" shrinkToFit="1"/>
    </xf>
    <xf numFmtId="0" fontId="25" fillId="2" borderId="0" xfId="252">
      <alignment vertical="top" shrinkToFit="1"/>
    </xf>
    <xf numFmtId="0" fontId="28" fillId="2" borderId="0" xfId="253">
      <alignment vertical="top" shrinkToFit="1"/>
    </xf>
    <xf numFmtId="0" fontId="25" fillId="2" borderId="0" xfId="254">
      <alignment horizontal="right" vertical="top" shrinkToFit="1"/>
    </xf>
    <xf numFmtId="0" fontId="24" fillId="2" borderId="0" xfId="255">
      <alignment vertical="top" shrinkToFit="1"/>
    </xf>
    <xf numFmtId="0" fontId="28" fillId="14" borderId="8" xfId="256">
      <alignment vertical="top" shrinkToFit="1"/>
    </xf>
    <xf numFmtId="0" fontId="25" fillId="14" borderId="8" xfId="257">
      <alignment horizontal="right" vertical="top" shrinkToFit="1"/>
    </xf>
    <xf numFmtId="0" fontId="25" fillId="14" borderId="19" xfId="258">
      <alignment horizontal="left" vertical="top" shrinkToFit="1"/>
    </xf>
    <xf numFmtId="0" fontId="25" fillId="14" borderId="20" xfId="259">
      <alignment horizontal="left" vertical="top" shrinkToFit="1"/>
    </xf>
    <xf numFmtId="0" fontId="25" fillId="14" borderId="21" xfId="260">
      <alignment horizontal="left" vertical="top" shrinkToFit="1"/>
    </xf>
    <xf numFmtId="164" fontId="25" fillId="14" borderId="13" xfId="261">
      <alignment horizontal="right" vertical="top" shrinkToFit="1"/>
    </xf>
    <xf numFmtId="164" fontId="25" fillId="14" borderId="15" xfId="262">
      <alignment horizontal="right" vertical="top" shrinkToFit="1"/>
    </xf>
    <xf numFmtId="164" fontId="25" fillId="14" borderId="9" xfId="263">
      <alignment horizontal="right" vertical="top" shrinkToFit="1"/>
    </xf>
    <xf numFmtId="3" fontId="25" fillId="14" borderId="13" xfId="264">
      <alignment horizontal="right" vertical="top" shrinkToFit="1"/>
    </xf>
    <xf numFmtId="3" fontId="27" fillId="14" borderId="15" xfId="265">
      <alignment horizontal="right" vertical="top" shrinkToFit="1"/>
    </xf>
    <xf numFmtId="3" fontId="25" fillId="14" borderId="15" xfId="266">
      <alignment horizontal="right" vertical="top" shrinkToFit="1"/>
    </xf>
    <xf numFmtId="3" fontId="25" fillId="14" borderId="8" xfId="267">
      <alignment horizontal="right" vertical="top" shrinkToFit="1"/>
    </xf>
    <xf numFmtId="3" fontId="25" fillId="14" borderId="9" xfId="268">
      <alignment horizontal="right" vertical="top" shrinkToFit="1"/>
    </xf>
    <xf numFmtId="3" fontId="25" fillId="14" borderId="18" xfId="269">
      <alignment horizontal="right" vertical="top" shrinkToFit="1"/>
    </xf>
    <xf numFmtId="165" fontId="25" fillId="14" borderId="13" xfId="270">
      <alignment horizontal="right" vertical="top" shrinkToFit="1"/>
    </xf>
    <xf numFmtId="165" fontId="27" fillId="14" borderId="15" xfId="271">
      <alignment horizontal="right" vertical="top" shrinkToFit="1"/>
    </xf>
    <xf numFmtId="165" fontId="24" fillId="14" borderId="15" xfId="272">
      <alignment horizontal="right" vertical="top" shrinkToFit="1"/>
    </xf>
    <xf numFmtId="165" fontId="25" fillId="14" borderId="15" xfId="273">
      <alignment horizontal="right" vertical="top" shrinkToFit="1"/>
    </xf>
    <xf numFmtId="165" fontId="27" fillId="14" borderId="18" xfId="274">
      <alignment horizontal="right" vertical="top" shrinkToFit="1"/>
    </xf>
    <xf numFmtId="165" fontId="25" fillId="14" borderId="17" xfId="275">
      <alignment horizontal="right" vertical="top" shrinkToFit="1"/>
    </xf>
    <xf numFmtId="165" fontId="25" fillId="14" borderId="18" xfId="276">
      <alignment horizontal="right" vertical="top" shrinkToFit="1"/>
    </xf>
    <xf numFmtId="173" fontId="25" fillId="14" borderId="12" xfId="277">
      <alignment horizontal="right" vertical="top" shrinkToFit="1"/>
    </xf>
    <xf numFmtId="173" fontId="25" fillId="14" borderId="13" xfId="278">
      <alignment horizontal="right" vertical="top" shrinkToFit="1"/>
    </xf>
    <xf numFmtId="173" fontId="25" fillId="14" borderId="15" xfId="279">
      <alignment horizontal="right" vertical="top" shrinkToFit="1"/>
    </xf>
    <xf numFmtId="173" fontId="25" fillId="14" borderId="8" xfId="280">
      <alignment horizontal="right" vertical="top" shrinkToFit="1"/>
    </xf>
    <xf numFmtId="173" fontId="25" fillId="14" borderId="9" xfId="281">
      <alignment horizontal="right" vertical="top" shrinkToFit="1"/>
    </xf>
    <xf numFmtId="164" fontId="27" fillId="14" borderId="15" xfId="282">
      <alignment horizontal="right" vertical="top" shrinkToFit="1"/>
    </xf>
    <xf numFmtId="164" fontId="25" fillId="14" borderId="18" xfId="283">
      <alignment horizontal="right" vertical="top" shrinkToFit="1"/>
    </xf>
    <xf numFmtId="171" fontId="25" fillId="14" borderId="9" xfId="284">
      <alignment horizontal="right" vertical="top" shrinkToFit="1"/>
    </xf>
    <xf numFmtId="167" fontId="25" fillId="14" borderId="13" xfId="285">
      <alignment horizontal="right" vertical="top" shrinkToFit="1"/>
    </xf>
    <xf numFmtId="167" fontId="27" fillId="14" borderId="15" xfId="286">
      <alignment horizontal="right" vertical="top" shrinkToFit="1"/>
    </xf>
    <xf numFmtId="167" fontId="25" fillId="14" borderId="15" xfId="287">
      <alignment horizontal="right" vertical="top" shrinkToFit="1"/>
    </xf>
    <xf numFmtId="167" fontId="25" fillId="14" borderId="9" xfId="288">
      <alignment horizontal="right" vertical="top" shrinkToFit="1"/>
    </xf>
    <xf numFmtId="167" fontId="25" fillId="14" borderId="18" xfId="289">
      <alignment horizontal="right" vertical="top" shrinkToFit="1"/>
    </xf>
    <xf numFmtId="166" fontId="25" fillId="14" borderId="13" xfId="290">
      <alignment horizontal="right" vertical="top" shrinkToFit="1"/>
    </xf>
    <xf numFmtId="166" fontId="25" fillId="14" borderId="15" xfId="291">
      <alignment horizontal="right" vertical="top" shrinkToFit="1"/>
    </xf>
    <xf numFmtId="166" fontId="25" fillId="14" borderId="8" xfId="292">
      <alignment horizontal="right" vertical="top" shrinkToFit="1"/>
    </xf>
    <xf numFmtId="166" fontId="25" fillId="14" borderId="9" xfId="293">
      <alignment horizontal="right" vertical="top" shrinkToFit="1"/>
    </xf>
    <xf numFmtId="164" fontId="24" fillId="14" borderId="15" xfId="294">
      <alignment horizontal="right" vertical="top" shrinkToFit="1"/>
    </xf>
    <xf numFmtId="164" fontId="27" fillId="14" borderId="18" xfId="295">
      <alignment horizontal="right" vertical="top" shrinkToFit="1"/>
    </xf>
    <xf numFmtId="166" fontId="27" fillId="14" borderId="15" xfId="296">
      <alignment horizontal="right" vertical="top" shrinkToFit="1"/>
    </xf>
    <xf numFmtId="166" fontId="25" fillId="14" borderId="18" xfId="297">
      <alignment horizontal="right" vertical="top" shrinkToFit="1"/>
    </xf>
    <xf numFmtId="4" fontId="25" fillId="14" borderId="9" xfId="298">
      <alignment horizontal="right" vertical="top" shrinkToFit="1"/>
    </xf>
    <xf numFmtId="4" fontId="25" fillId="14" borderId="13" xfId="299">
      <alignment horizontal="right" vertical="top" shrinkToFit="1"/>
    </xf>
    <xf numFmtId="4" fontId="27" fillId="14" borderId="15" xfId="300">
      <alignment horizontal="right" vertical="top" shrinkToFit="1"/>
    </xf>
    <xf numFmtId="4" fontId="25" fillId="14" borderId="15" xfId="301">
      <alignment horizontal="right" vertical="top" shrinkToFit="1"/>
    </xf>
    <xf numFmtId="4" fontId="25" fillId="14" borderId="17" xfId="302">
      <alignment horizontal="right" vertical="top" shrinkToFit="1"/>
    </xf>
    <xf numFmtId="4" fontId="25" fillId="14" borderId="18" xfId="303">
      <alignment horizontal="right" vertical="top" shrinkToFit="1"/>
    </xf>
    <xf numFmtId="169" fontId="25" fillId="14" borderId="12" xfId="304">
      <alignment horizontal="right" vertical="top" shrinkToFit="1"/>
    </xf>
    <xf numFmtId="169" fontId="25" fillId="14" borderId="13" xfId="305">
      <alignment horizontal="right" vertical="top" shrinkToFit="1"/>
    </xf>
    <xf numFmtId="169" fontId="25" fillId="14" borderId="15" xfId="306">
      <alignment horizontal="right" vertical="top" shrinkToFit="1"/>
    </xf>
    <xf numFmtId="169" fontId="25" fillId="14" borderId="8" xfId="307">
      <alignment horizontal="right" vertical="top" shrinkToFit="1"/>
    </xf>
    <xf numFmtId="169" fontId="25" fillId="14" borderId="9" xfId="308">
      <alignment horizontal="right" vertical="top" shrinkToFit="1"/>
    </xf>
    <xf numFmtId="0" fontId="25" fillId="14" borderId="22" xfId="309">
      <alignment horizontal="left" vertical="top" shrinkToFit="1"/>
    </xf>
    <xf numFmtId="171" fontId="24" fillId="15" borderId="22" xfId="310">
      <alignment horizontal="right" vertical="top" shrinkToFit="1"/>
      <protection locked="0"/>
    </xf>
    <xf numFmtId="0" fontId="25" fillId="14" borderId="23" xfId="311">
      <alignment horizontal="left" vertical="top" shrinkToFit="1"/>
    </xf>
    <xf numFmtId="0" fontId="24" fillId="15" borderId="22" xfId="313">
      <alignment vertical="top" shrinkToFit="1"/>
      <protection locked="0"/>
    </xf>
    <xf numFmtId="0" fontId="24" fillId="14" borderId="22" xfId="312">
      <alignment vertical="top" shrinkToFit="1"/>
    </xf>
    <xf numFmtId="0" fontId="25" fillId="15" borderId="22" xfId="314">
      <alignment vertical="top" shrinkToFit="1"/>
      <protection locked="0"/>
    </xf>
    <xf numFmtId="0" fontId="27" fillId="15" borderId="22" xfId="315">
      <alignment vertical="top" shrinkToFit="1"/>
      <protection locked="0"/>
    </xf>
    <xf numFmtId="0" fontId="28" fillId="15" borderId="22" xfId="316">
      <alignment vertical="top" shrinkToFit="1"/>
      <protection locked="0"/>
    </xf>
    <xf numFmtId="164" fontId="0" fillId="0" borderId="0" xfId="0" applyNumberFormat="1">
      <alignment vertical="center"/>
    </xf>
    <xf numFmtId="0" fontId="0" fillId="0" borderId="0" xfId="0" quotePrefix="1">
      <alignment vertical="center"/>
    </xf>
    <xf numFmtId="0" fontId="25" fillId="14" borderId="23" xfId="311" applyAlignment="1">
      <alignment horizontal="left" vertical="top" wrapText="1" shrinkToFit="1"/>
    </xf>
    <xf numFmtId="0" fontId="24" fillId="15" borderId="22" xfId="313" applyAlignment="1">
      <alignment vertical="top" wrapText="1" shrinkToFit="1"/>
      <protection locked="0"/>
    </xf>
    <xf numFmtId="0" fontId="0" fillId="0" borderId="0" xfId="0" applyAlignment="1">
      <alignment vertical="center" wrapText="1"/>
    </xf>
    <xf numFmtId="0" fontId="30" fillId="0" borderId="24" xfId="0" applyFont="1" applyBorder="1" applyAlignment="1">
      <alignment horizontal="left" vertical="center" wrapText="1" indent="4"/>
    </xf>
    <xf numFmtId="0" fontId="0" fillId="0" borderId="24" xfId="0" applyBorder="1">
      <alignment vertical="center"/>
    </xf>
    <xf numFmtId="0" fontId="31" fillId="0" borderId="24" xfId="0" applyFont="1" applyBorder="1" applyAlignment="1">
      <alignment horizontal="center"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0" fillId="0" borderId="24" xfId="0" applyFont="1" applyBorder="1">
      <alignment vertical="center"/>
    </xf>
    <xf numFmtId="0" fontId="0" fillId="0" borderId="24" xfId="0" applyFont="1" applyBorder="1" applyAlignment="1">
      <alignment vertical="center" wrapText="1"/>
    </xf>
    <xf numFmtId="0" fontId="0" fillId="0" borderId="24" xfId="0" applyBorder="1" applyAlignment="1">
      <alignment vertical="center" wrapText="1"/>
    </xf>
    <xf numFmtId="0" fontId="41" fillId="0" borderId="24" xfId="34" applyBorder="1" applyAlignment="1" applyProtection="1">
      <alignment vertical="center" wrapText="1"/>
    </xf>
    <xf numFmtId="0" fontId="34" fillId="0" borderId="24" xfId="0" applyFont="1" applyBorder="1" applyAlignment="1">
      <alignment vertical="center" wrapText="1"/>
    </xf>
    <xf numFmtId="0" fontId="33" fillId="0" borderId="24" xfId="0" applyFont="1" applyBorder="1" applyAlignment="1">
      <alignment vertical="center" wrapText="1"/>
    </xf>
    <xf numFmtId="0" fontId="0" fillId="0" borderId="24" xfId="0" applyBorder="1" applyAlignment="1">
      <alignment horizontal="left" vertical="center" wrapText="1" indent="1"/>
    </xf>
    <xf numFmtId="0" fontId="0" fillId="0" borderId="24" xfId="0" applyBorder="1" applyAlignment="1">
      <alignment horizontal="left" vertical="center" wrapText="1" indent="2"/>
    </xf>
    <xf numFmtId="0" fontId="41" fillId="0" borderId="24" xfId="34" applyBorder="1" applyAlignment="1" applyProtection="1">
      <alignment horizontal="left" vertical="center" wrapText="1" indent="1"/>
    </xf>
    <xf numFmtId="0" fontId="1" fillId="0" borderId="24" xfId="505" applyFont="1" applyBorder="1" applyAlignment="1">
      <alignment horizontal="left" vertical="center" wrapText="1" indent="1"/>
    </xf>
    <xf numFmtId="0" fontId="0" fillId="0" borderId="0" xfId="0" applyBorder="1" applyAlignment="1">
      <alignment vertical="center" wrapText="1"/>
    </xf>
    <xf numFmtId="0" fontId="1" fillId="0" borderId="24" xfId="505" applyNumberFormat="1" applyFont="1" applyBorder="1" applyAlignment="1">
      <alignment vertical="center" wrapText="1"/>
    </xf>
    <xf numFmtId="0" fontId="1" fillId="0" borderId="24" xfId="505" applyFont="1" applyBorder="1" applyAlignment="1">
      <alignment vertical="center" wrapText="1"/>
    </xf>
    <xf numFmtId="0" fontId="1" fillId="0" borderId="24" xfId="505" applyFont="1" applyBorder="1" applyAlignment="1">
      <alignment vertical="top" wrapText="1"/>
    </xf>
    <xf numFmtId="0" fontId="0" fillId="0" borderId="24" xfId="0" applyNumberFormat="1" applyBorder="1" applyAlignment="1">
      <alignment horizontal="left" vertical="center" wrapText="1"/>
    </xf>
    <xf numFmtId="0" fontId="41" fillId="0" borderId="0" xfId="34" applyBorder="1" applyAlignment="1" applyProtection="1">
      <alignment vertical="center" wrapText="1"/>
    </xf>
    <xf numFmtId="0" fontId="0" fillId="16" borderId="10" xfId="0" applyFill="1" applyBorder="1" applyAlignment="1">
      <alignment vertical="center" wrapText="1"/>
    </xf>
    <xf numFmtId="0" fontId="0" fillId="0" borderId="28" xfId="0" applyBorder="1" applyAlignment="1">
      <alignment vertical="center" wrapText="1"/>
    </xf>
    <xf numFmtId="0" fontId="0" fillId="0" borderId="29" xfId="0" applyBorder="1" applyAlignment="1">
      <alignment horizontal="left" vertical="center" wrapText="1" indent="1"/>
    </xf>
    <xf numFmtId="0" fontId="0" fillId="0" borderId="29" xfId="0" applyBorder="1" applyAlignment="1">
      <alignment vertical="center" wrapText="1"/>
    </xf>
    <xf numFmtId="0" fontId="38" fillId="0" borderId="24" xfId="0" applyFont="1" applyBorder="1" applyAlignment="1">
      <alignment horizontal="left" vertical="center" wrapText="1" indent="1"/>
    </xf>
    <xf numFmtId="0" fontId="0" fillId="0" borderId="30" xfId="0" applyBorder="1" applyAlignment="1">
      <alignment vertical="center" wrapText="1"/>
    </xf>
    <xf numFmtId="0" fontId="37" fillId="0" borderId="24" xfId="0" applyFont="1" applyBorder="1" applyAlignment="1">
      <alignment vertical="center" wrapText="1"/>
    </xf>
    <xf numFmtId="0" fontId="34" fillId="0" borderId="31" xfId="0" applyFont="1" applyBorder="1" applyAlignment="1">
      <alignment vertical="center" wrapText="1"/>
    </xf>
    <xf numFmtId="0" fontId="0" fillId="0" borderId="31" xfId="0" applyBorder="1">
      <alignment vertical="center"/>
    </xf>
    <xf numFmtId="0" fontId="0" fillId="0" borderId="31" xfId="0" applyBorder="1" applyAlignment="1">
      <alignment vertical="center" wrapText="1"/>
    </xf>
    <xf numFmtId="0" fontId="41" fillId="0" borderId="0" xfId="34" applyAlignment="1" applyProtection="1">
      <alignment horizontal="center" vertical="center"/>
    </xf>
    <xf numFmtId="0" fontId="41" fillId="0" borderId="24" xfId="34" applyBorder="1" applyAlignment="1" applyProtection="1">
      <alignment horizontal="center" vertical="center" wrapText="1"/>
    </xf>
    <xf numFmtId="0" fontId="24" fillId="14" borderId="0" xfId="38">
      <alignment vertical="top" shrinkToFit="1"/>
    </xf>
    <xf numFmtId="0" fontId="23" fillId="14" borderId="0" xfId="37">
      <alignment vertical="top" shrinkToFit="1"/>
    </xf>
    <xf numFmtId="0" fontId="25" fillId="14" borderId="0" xfId="44">
      <alignment vertical="top" shrinkToFit="1"/>
    </xf>
    <xf numFmtId="0" fontId="26" fillId="14" borderId="0" xfId="43">
      <alignment vertical="top" shrinkToFit="1"/>
    </xf>
  </cellXfs>
  <cellStyles count="51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MSSStyle001" xfId="37"/>
    <cellStyle name="MSSStyle002" xfId="38"/>
    <cellStyle name="MSSStyle003" xfId="39"/>
    <cellStyle name="MSSStyle004" xfId="40"/>
    <cellStyle name="MSSStyle005" xfId="41"/>
    <cellStyle name="MSSStyle006" xfId="42"/>
    <cellStyle name="MSSStyle007" xfId="43"/>
    <cellStyle name="MSSStyle008" xfId="44"/>
    <cellStyle name="MSSStyle009" xfId="45"/>
    <cellStyle name="MSSStyle010" xfId="46"/>
    <cellStyle name="MSSStyle011" xfId="47"/>
    <cellStyle name="MSSStyle012" xfId="48"/>
    <cellStyle name="MSSStyle013" xfId="49"/>
    <cellStyle name="MSSStyle014" xfId="50"/>
    <cellStyle name="MSSStyle015" xfId="51"/>
    <cellStyle name="MSSStyle016" xfId="52"/>
    <cellStyle name="MSSStyle017" xfId="53"/>
    <cellStyle name="MSSStyle018" xfId="54"/>
    <cellStyle name="MSSStyle019" xfId="55"/>
    <cellStyle name="MSSStyle020" xfId="56"/>
    <cellStyle name="MSSStyle021" xfId="57"/>
    <cellStyle name="MSSStyle022" xfId="58"/>
    <cellStyle name="MSSStyle023" xfId="59"/>
    <cellStyle name="MSSStyle024" xfId="60"/>
    <cellStyle name="MSSStyle025" xfId="61"/>
    <cellStyle name="MSSStyle026" xfId="62"/>
    <cellStyle name="MSSStyle027" xfId="63"/>
    <cellStyle name="MSSStyle028" xfId="64"/>
    <cellStyle name="MSSStyle029" xfId="65"/>
    <cellStyle name="MSSStyle030" xfId="66"/>
    <cellStyle name="MSSStyle031" xfId="67"/>
    <cellStyle name="MSSStyle032" xfId="68"/>
    <cellStyle name="MSSStyle033" xfId="69"/>
    <cellStyle name="MSSStyle034" xfId="70"/>
    <cellStyle name="MSSStyle035" xfId="71"/>
    <cellStyle name="MSSStyle036" xfId="72"/>
    <cellStyle name="MSSStyle037" xfId="73"/>
    <cellStyle name="MSSStyle038" xfId="74"/>
    <cellStyle name="MSSStyle039" xfId="75"/>
    <cellStyle name="MSSStyle040" xfId="76"/>
    <cellStyle name="MSSStyle041" xfId="77"/>
    <cellStyle name="MSSStyle042" xfId="78"/>
    <cellStyle name="MSSStyle043" xfId="79"/>
    <cellStyle name="MSSStyle044" xfId="80"/>
    <cellStyle name="MSSStyle045" xfId="81"/>
    <cellStyle name="MSSStyle046" xfId="82"/>
    <cellStyle name="MSSStyle047" xfId="83"/>
    <cellStyle name="MSSStyle048" xfId="84"/>
    <cellStyle name="MSSStyle049" xfId="85"/>
    <cellStyle name="MSSStyle050" xfId="86"/>
    <cellStyle name="MSSStyle051" xfId="87"/>
    <cellStyle name="MSSStyle052" xfId="88"/>
    <cellStyle name="MSSStyle053" xfId="89"/>
    <cellStyle name="MSSStyle054" xfId="90"/>
    <cellStyle name="MSSStyle055" xfId="91"/>
    <cellStyle name="MSSStyle056" xfId="92"/>
    <cellStyle name="MSSStyle057" xfId="93"/>
    <cellStyle name="MSSStyle058" xfId="94"/>
    <cellStyle name="MSSStyle059" xfId="95"/>
    <cellStyle name="MSSStyle060" xfId="96"/>
    <cellStyle name="MSSStyle061" xfId="97"/>
    <cellStyle name="MSSStyle062" xfId="98"/>
    <cellStyle name="MSSStyle063" xfId="99"/>
    <cellStyle name="MSSStyle064" xfId="100"/>
    <cellStyle name="MSSStyle065" xfId="101"/>
    <cellStyle name="MSSStyle066" xfId="102"/>
    <cellStyle name="MSSStyle067" xfId="103"/>
    <cellStyle name="MSSStyle068" xfId="104"/>
    <cellStyle name="MSSStyle069" xfId="105"/>
    <cellStyle name="MSSStyle070" xfId="106"/>
    <cellStyle name="MSSStyle071" xfId="107"/>
    <cellStyle name="MSSStyle072" xfId="108"/>
    <cellStyle name="MSSStyle073" xfId="109"/>
    <cellStyle name="MSSStyle074" xfId="110"/>
    <cellStyle name="MSSStyle075" xfId="111"/>
    <cellStyle name="MSSStyle076" xfId="112"/>
    <cellStyle name="MSSStyle077" xfId="113"/>
    <cellStyle name="MSSStyle078" xfId="114"/>
    <cellStyle name="MSSStyle079" xfId="115"/>
    <cellStyle name="MSSStyle080" xfId="116"/>
    <cellStyle name="MSSStyle081" xfId="117"/>
    <cellStyle name="MSSStyle082" xfId="118"/>
    <cellStyle name="MSSStyle083" xfId="119"/>
    <cellStyle name="MSSStyle084" xfId="120"/>
    <cellStyle name="MSSStyle085" xfId="121"/>
    <cellStyle name="MSSStyle086" xfId="122"/>
    <cellStyle name="MSSStyle087" xfId="123"/>
    <cellStyle name="MSSStyle088" xfId="124"/>
    <cellStyle name="MSSStyle089" xfId="125"/>
    <cellStyle name="MSSStyle090" xfId="126"/>
    <cellStyle name="MSSStyle091" xfId="127"/>
    <cellStyle name="MSSStyle092" xfId="128"/>
    <cellStyle name="MSSStyle093" xfId="129"/>
    <cellStyle name="MSSStyle094" xfId="130"/>
    <cellStyle name="MSSStyle095" xfId="131"/>
    <cellStyle name="MSSStyle096" xfId="132"/>
    <cellStyle name="MSSStyle097" xfId="133"/>
    <cellStyle name="MSSStyle098" xfId="134"/>
    <cellStyle name="MSSStyle099" xfId="135"/>
    <cellStyle name="MSSStyle100" xfId="136"/>
    <cellStyle name="MSSStyle101" xfId="137"/>
    <cellStyle name="MSSStyle102" xfId="138"/>
    <cellStyle name="MSSStyle103" xfId="139"/>
    <cellStyle name="MSSStyle104" xfId="140"/>
    <cellStyle name="MSSStyle105" xfId="141"/>
    <cellStyle name="MSSStyle106" xfId="142"/>
    <cellStyle name="MSSStyle107" xfId="143"/>
    <cellStyle name="MSSStyle108" xfId="144"/>
    <cellStyle name="MSSStyle109" xfId="145"/>
    <cellStyle name="MSSStyle110" xfId="146"/>
    <cellStyle name="MSSStyle111" xfId="147"/>
    <cellStyle name="MSSStyle112" xfId="148"/>
    <cellStyle name="MSSStyle113" xfId="149"/>
    <cellStyle name="MSSStyle114" xfId="150"/>
    <cellStyle name="MSSStyle115" xfId="151"/>
    <cellStyle name="MSSStyle116" xfId="152"/>
    <cellStyle name="MSSStyle117" xfId="153"/>
    <cellStyle name="MSSStyle118" xfId="154"/>
    <cellStyle name="MSSStyle119" xfId="155"/>
    <cellStyle name="MSSStyle120" xfId="156"/>
    <cellStyle name="MSSStyle121" xfId="157"/>
    <cellStyle name="MSSStyle122" xfId="158"/>
    <cellStyle name="MSSStyle123" xfId="159"/>
    <cellStyle name="MSSStyle124" xfId="160"/>
    <cellStyle name="MSSStyle125" xfId="161"/>
    <cellStyle name="MSSStyle126" xfId="162"/>
    <cellStyle name="MSSStyle127" xfId="163"/>
    <cellStyle name="MSSStyle128" xfId="164"/>
    <cellStyle name="MSSStyle129" xfId="165"/>
    <cellStyle name="MSSStyle130" xfId="166"/>
    <cellStyle name="MSSStyle131" xfId="167"/>
    <cellStyle name="MSSStyle132" xfId="168"/>
    <cellStyle name="MSSStyle133" xfId="169"/>
    <cellStyle name="MSSStyle134" xfId="170"/>
    <cellStyle name="MSSStyle135" xfId="171"/>
    <cellStyle name="MSSStyle136" xfId="172"/>
    <cellStyle name="MSSStyle137" xfId="173"/>
    <cellStyle name="MSSStyle138" xfId="174"/>
    <cellStyle name="MSSStyle139" xfId="175"/>
    <cellStyle name="MSSStyle140" xfId="176"/>
    <cellStyle name="MSSStyle141" xfId="177"/>
    <cellStyle name="MSSStyle142" xfId="178"/>
    <cellStyle name="MSSStyle143" xfId="179"/>
    <cellStyle name="MSSStyle144" xfId="180"/>
    <cellStyle name="MSSStyle145" xfId="181"/>
    <cellStyle name="MSSStyle146" xfId="182"/>
    <cellStyle name="MSSStyle147" xfId="183"/>
    <cellStyle name="MSSStyle148" xfId="184"/>
    <cellStyle name="MSSStyle149" xfId="185"/>
    <cellStyle name="MSSStyle150" xfId="186"/>
    <cellStyle name="MSSStyle151" xfId="187"/>
    <cellStyle name="MSSStyle152" xfId="188"/>
    <cellStyle name="MSSStyle153" xfId="189"/>
    <cellStyle name="MSSStyle154" xfId="190"/>
    <cellStyle name="MSSStyle155" xfId="191"/>
    <cellStyle name="MSSStyle156" xfId="192"/>
    <cellStyle name="MSSStyle157" xfId="193"/>
    <cellStyle name="MSSStyle158" xfId="194"/>
    <cellStyle name="MSSStyle159" xfId="195"/>
    <cellStyle name="MSSStyle160" xfId="196"/>
    <cellStyle name="MSSStyle161" xfId="197"/>
    <cellStyle name="MSSStyle162" xfId="198"/>
    <cellStyle name="MSSStyle163" xfId="199"/>
    <cellStyle name="MSSStyle164" xfId="200"/>
    <cellStyle name="MSSStyle165" xfId="201"/>
    <cellStyle name="MSSStyle166" xfId="202"/>
    <cellStyle name="MSSStyle167" xfId="203"/>
    <cellStyle name="MSSStyle168" xfId="204"/>
    <cellStyle name="MSSStyle169" xfId="205"/>
    <cellStyle name="MSSStyle170" xfId="206"/>
    <cellStyle name="MSSStyle171" xfId="207"/>
    <cellStyle name="MSSStyle172" xfId="208"/>
    <cellStyle name="MSSStyle173" xfId="209"/>
    <cellStyle name="MSSStyle174" xfId="210"/>
    <cellStyle name="MSSStyle175" xfId="211"/>
    <cellStyle name="MSSStyle176" xfId="212"/>
    <cellStyle name="MSSStyle177" xfId="213"/>
    <cellStyle name="MSSStyle178" xfId="214"/>
    <cellStyle name="MSSStyle179" xfId="215"/>
    <cellStyle name="MSSStyle180" xfId="216"/>
    <cellStyle name="MSSStyle181" xfId="217"/>
    <cellStyle name="MSSStyle182" xfId="218"/>
    <cellStyle name="MSSStyle183" xfId="219"/>
    <cellStyle name="MSSStyle184" xfId="220"/>
    <cellStyle name="MSSStyle185" xfId="221"/>
    <cellStyle name="MSSStyle186" xfId="222"/>
    <cellStyle name="MSSStyle187" xfId="223"/>
    <cellStyle name="MSSStyle188" xfId="224"/>
    <cellStyle name="MSSStyle189" xfId="225"/>
    <cellStyle name="MSSStyle190" xfId="226"/>
    <cellStyle name="MSSStyle191" xfId="227"/>
    <cellStyle name="MSSStyle192" xfId="228"/>
    <cellStyle name="MSSStyle193" xfId="229"/>
    <cellStyle name="MSSStyle194" xfId="230"/>
    <cellStyle name="MSSStyle195" xfId="231"/>
    <cellStyle name="MSSStyle196" xfId="232"/>
    <cellStyle name="MSSStyle197" xfId="233"/>
    <cellStyle name="MSSStyle198" xfId="234"/>
    <cellStyle name="MSSStyle199" xfId="235"/>
    <cellStyle name="MSSStyle200" xfId="236"/>
    <cellStyle name="MSSStyle201" xfId="237"/>
    <cellStyle name="MSSStyle202" xfId="238"/>
    <cellStyle name="MSSStyle203" xfId="239"/>
    <cellStyle name="MSSStyle204" xfId="240"/>
    <cellStyle name="MSSStyle205" xfId="241"/>
    <cellStyle name="MSSStyle206" xfId="242"/>
    <cellStyle name="MSSStyle207" xfId="243"/>
    <cellStyle name="MSSStyle208" xfId="244"/>
    <cellStyle name="MSSStyle209" xfId="245"/>
    <cellStyle name="MSSStyle210" xfId="246"/>
    <cellStyle name="MSSStyle211" xfId="247"/>
    <cellStyle name="MSSStyle212" xfId="248"/>
    <cellStyle name="MSSStyle213" xfId="249"/>
    <cellStyle name="MSSStyle214" xfId="250"/>
    <cellStyle name="MSSStyle215" xfId="251"/>
    <cellStyle name="MSSStyle216" xfId="252"/>
    <cellStyle name="MSSStyle217" xfId="253"/>
    <cellStyle name="MSSStyle218" xfId="254"/>
    <cellStyle name="MSSStyle219" xfId="255"/>
    <cellStyle name="MSSStyle220" xfId="256"/>
    <cellStyle name="MSSStyle221" xfId="257"/>
    <cellStyle name="MSSStyle222" xfId="258"/>
    <cellStyle name="MSSStyle223" xfId="259"/>
    <cellStyle name="MSSStyle224" xfId="260"/>
    <cellStyle name="MSSStyle225" xfId="261"/>
    <cellStyle name="MSSStyle226" xfId="262"/>
    <cellStyle name="MSSStyle227" xfId="263"/>
    <cellStyle name="MSSStyle228" xfId="264"/>
    <cellStyle name="MSSStyle229" xfId="265"/>
    <cellStyle name="MSSStyle230" xfId="266"/>
    <cellStyle name="MSSStyle231" xfId="267"/>
    <cellStyle name="MSSStyle232" xfId="268"/>
    <cellStyle name="MSSStyle233" xfId="269"/>
    <cellStyle name="MSSStyle234" xfId="270"/>
    <cellStyle name="MSSStyle235" xfId="271"/>
    <cellStyle name="MSSStyle236" xfId="272"/>
    <cellStyle name="MSSStyle237" xfId="273"/>
    <cellStyle name="MSSStyle238" xfId="274"/>
    <cellStyle name="MSSStyle239" xfId="275"/>
    <cellStyle name="MSSStyle240" xfId="276"/>
    <cellStyle name="MSSStyle241" xfId="277"/>
    <cellStyle name="MSSStyle242" xfId="278"/>
    <cellStyle name="MSSStyle243" xfId="279"/>
    <cellStyle name="MSSStyle244" xfId="280"/>
    <cellStyle name="MSSStyle245" xfId="281"/>
    <cellStyle name="MSSStyle246" xfId="282"/>
    <cellStyle name="MSSStyle247" xfId="283"/>
    <cellStyle name="MSSStyle248" xfId="284"/>
    <cellStyle name="MSSStyle249" xfId="285"/>
    <cellStyle name="MSSStyle250" xfId="286"/>
    <cellStyle name="MSSStyle251" xfId="287"/>
    <cellStyle name="MSSStyle252" xfId="288"/>
    <cellStyle name="MSSStyle253" xfId="289"/>
    <cellStyle name="MSSStyle254" xfId="290"/>
    <cellStyle name="MSSStyle255" xfId="291"/>
    <cellStyle name="MSSStyle256" xfId="292"/>
    <cellStyle name="MSSStyle257" xfId="293"/>
    <cellStyle name="MSSStyle258" xfId="294"/>
    <cellStyle name="MSSStyle259" xfId="295"/>
    <cellStyle name="MSSStyle260" xfId="296"/>
    <cellStyle name="MSSStyle261" xfId="297"/>
    <cellStyle name="MSSStyle262" xfId="298"/>
    <cellStyle name="MSSStyle263" xfId="299"/>
    <cellStyle name="MSSStyle264" xfId="300"/>
    <cellStyle name="MSSStyle265" xfId="301"/>
    <cellStyle name="MSSStyle266" xfId="302"/>
    <cellStyle name="MSSStyle267" xfId="303"/>
    <cellStyle name="MSSStyle268" xfId="304"/>
    <cellStyle name="MSSStyle269" xfId="305"/>
    <cellStyle name="MSSStyle270" xfId="306"/>
    <cellStyle name="MSSStyle271" xfId="307"/>
    <cellStyle name="MSSStyle272" xfId="308"/>
    <cellStyle name="MSSStyle273" xfId="309"/>
    <cellStyle name="MSSStyle274" xfId="310"/>
    <cellStyle name="MSSStyle275" xfId="311"/>
    <cellStyle name="MSSStyle276" xfId="312"/>
    <cellStyle name="MSSStyle277" xfId="313"/>
    <cellStyle name="MSSStyle278" xfId="314"/>
    <cellStyle name="MSSStyle279" xfId="315"/>
    <cellStyle name="MSSStyle280" xfId="316"/>
    <cellStyle name="MSSStyle281" xfId="317"/>
    <cellStyle name="MSSStyle282" xfId="318"/>
    <cellStyle name="MSSStyle283" xfId="319"/>
    <cellStyle name="MSSStyle284" xfId="320"/>
    <cellStyle name="MSSStyle285" xfId="321"/>
    <cellStyle name="MSSStyle286" xfId="322"/>
    <cellStyle name="MSSStyle287" xfId="323"/>
    <cellStyle name="MSSStyle288" xfId="324"/>
    <cellStyle name="MSSStyle289" xfId="325"/>
    <cellStyle name="MSSStyle290" xfId="326"/>
    <cellStyle name="MSSStyle291" xfId="327"/>
    <cellStyle name="MSSStyle292" xfId="328"/>
    <cellStyle name="MSSStyle293" xfId="329"/>
    <cellStyle name="MSSStyle294" xfId="330"/>
    <cellStyle name="MSSStyle295" xfId="331"/>
    <cellStyle name="MSSStyle296" xfId="332"/>
    <cellStyle name="MSSStyle297" xfId="333"/>
    <cellStyle name="MSSStyle298" xfId="334"/>
    <cellStyle name="MSSStyle299" xfId="335"/>
    <cellStyle name="MSSStyle300" xfId="336"/>
    <cellStyle name="MSSStyle301" xfId="337"/>
    <cellStyle name="MSSStyle302" xfId="338"/>
    <cellStyle name="MSSStyle303" xfId="339"/>
    <cellStyle name="MSSStyle304" xfId="340"/>
    <cellStyle name="MSSStyle305" xfId="341"/>
    <cellStyle name="MSSStyle306" xfId="342"/>
    <cellStyle name="MSSStyle307" xfId="343"/>
    <cellStyle name="MSSStyle308" xfId="344"/>
    <cellStyle name="MSSStyle309" xfId="345"/>
    <cellStyle name="MSSStyle310" xfId="346"/>
    <cellStyle name="MSSStyle311" xfId="347"/>
    <cellStyle name="MSSStyle312" xfId="348"/>
    <cellStyle name="MSSStyle313" xfId="349"/>
    <cellStyle name="MSSStyle314" xfId="350"/>
    <cellStyle name="MSSStyle315" xfId="351"/>
    <cellStyle name="MSSStyle316" xfId="352"/>
    <cellStyle name="MSSStyle317" xfId="353"/>
    <cellStyle name="MSSStyle318" xfId="354"/>
    <cellStyle name="MSSStyle319" xfId="355"/>
    <cellStyle name="MSSStyle320" xfId="356"/>
    <cellStyle name="MSSStyle321" xfId="357"/>
    <cellStyle name="MSSStyle322" xfId="358"/>
    <cellStyle name="MSSStyle323" xfId="359"/>
    <cellStyle name="MSSStyle324" xfId="360"/>
    <cellStyle name="MSSStyle325" xfId="361"/>
    <cellStyle name="MSSStyle326" xfId="362"/>
    <cellStyle name="MSSStyle327" xfId="363"/>
    <cellStyle name="MSSStyle328" xfId="364"/>
    <cellStyle name="MSSStyle329" xfId="365"/>
    <cellStyle name="MSSStyle330" xfId="366"/>
    <cellStyle name="MSSStyle331" xfId="367"/>
    <cellStyle name="MSSStyle332" xfId="368"/>
    <cellStyle name="MSSStyle333" xfId="369"/>
    <cellStyle name="MSSStyle334" xfId="370"/>
    <cellStyle name="MSSStyle335" xfId="371"/>
    <cellStyle name="MSSStyle336" xfId="372"/>
    <cellStyle name="MSSStyle337" xfId="373"/>
    <cellStyle name="MSSStyle338" xfId="374"/>
    <cellStyle name="MSSStyle339" xfId="375"/>
    <cellStyle name="MSSStyle340" xfId="376"/>
    <cellStyle name="MSSStyle341" xfId="377"/>
    <cellStyle name="MSSStyle342" xfId="378"/>
    <cellStyle name="MSSStyle343" xfId="379"/>
    <cellStyle name="MSSStyle344" xfId="380"/>
    <cellStyle name="MSSStyle345" xfId="381"/>
    <cellStyle name="MSSStyle346" xfId="382"/>
    <cellStyle name="MSSStyle347" xfId="383"/>
    <cellStyle name="MSSStyle348" xfId="384"/>
    <cellStyle name="MSSStyle349" xfId="385"/>
    <cellStyle name="MSSStyle350" xfId="386"/>
    <cellStyle name="MSSStyle351" xfId="387"/>
    <cellStyle name="MSSStyle352" xfId="388"/>
    <cellStyle name="MSSStyle353" xfId="389"/>
    <cellStyle name="MSSStyle354" xfId="390"/>
    <cellStyle name="MSSStyle355" xfId="391"/>
    <cellStyle name="MSSStyle356" xfId="392"/>
    <cellStyle name="MSSStyle357" xfId="393"/>
    <cellStyle name="MSSStyle358" xfId="394"/>
    <cellStyle name="MSSStyle359" xfId="395"/>
    <cellStyle name="MSSStyle360" xfId="396"/>
    <cellStyle name="MSSStyle361" xfId="397"/>
    <cellStyle name="MSSStyle362" xfId="398"/>
    <cellStyle name="MSSStyle363" xfId="399"/>
    <cellStyle name="MSSStyle364" xfId="400"/>
    <cellStyle name="MSSStyle365" xfId="401"/>
    <cellStyle name="MSSStyle366" xfId="402"/>
    <cellStyle name="MSSStyle367" xfId="403"/>
    <cellStyle name="MSSStyle368" xfId="404"/>
    <cellStyle name="MSSStyle369" xfId="405"/>
    <cellStyle name="MSSStyle370" xfId="406"/>
    <cellStyle name="MSSStyle371" xfId="407"/>
    <cellStyle name="MSSStyle372" xfId="408"/>
    <cellStyle name="MSSStyle373" xfId="409"/>
    <cellStyle name="MSSStyle374" xfId="410"/>
    <cellStyle name="MSSStyle375" xfId="411"/>
    <cellStyle name="MSSStyle376" xfId="412"/>
    <cellStyle name="MSSStyle377" xfId="413"/>
    <cellStyle name="MSSStyle378" xfId="414"/>
    <cellStyle name="MSSStyle379" xfId="415"/>
    <cellStyle name="MSSStyle380" xfId="416"/>
    <cellStyle name="MSSStyle381" xfId="417"/>
    <cellStyle name="MSSStyle382" xfId="418"/>
    <cellStyle name="MSSStyle383" xfId="419"/>
    <cellStyle name="MSSStyle384" xfId="420"/>
    <cellStyle name="MSSStyle385" xfId="421"/>
    <cellStyle name="MSSStyle386" xfId="422"/>
    <cellStyle name="MSSStyle387" xfId="423"/>
    <cellStyle name="MSSStyle388" xfId="424"/>
    <cellStyle name="MSSStyle389" xfId="425"/>
    <cellStyle name="MSSStyle390" xfId="426"/>
    <cellStyle name="MSSStyle391" xfId="427"/>
    <cellStyle name="MSSStyle392" xfId="428"/>
    <cellStyle name="MSSStyle393" xfId="429"/>
    <cellStyle name="MSSStyle394" xfId="430"/>
    <cellStyle name="MSSStyle395" xfId="431"/>
    <cellStyle name="MSSStyle396" xfId="432"/>
    <cellStyle name="MSSStyle397" xfId="433"/>
    <cellStyle name="MSSStyle398" xfId="434"/>
    <cellStyle name="MSSStyle399" xfId="435"/>
    <cellStyle name="MSSStyle400" xfId="436"/>
    <cellStyle name="MSSStyle401" xfId="437"/>
    <cellStyle name="MSSStyle402" xfId="438"/>
    <cellStyle name="MSSStyle403" xfId="439"/>
    <cellStyle name="MSSStyle404" xfId="440"/>
    <cellStyle name="MSSStyle405" xfId="441"/>
    <cellStyle name="MSSStyle406" xfId="442"/>
    <cellStyle name="MSSStyle407" xfId="443"/>
    <cellStyle name="MSSStyle408" xfId="444"/>
    <cellStyle name="MSSStyle409" xfId="445"/>
    <cellStyle name="MSSStyle410" xfId="446"/>
    <cellStyle name="MSSStyle411" xfId="447"/>
    <cellStyle name="MSSStyle412" xfId="448"/>
    <cellStyle name="MSSStyle413" xfId="449"/>
    <cellStyle name="MSSStyle414" xfId="450"/>
    <cellStyle name="MSSStyle415" xfId="451"/>
    <cellStyle name="MSSStyle416" xfId="452"/>
    <cellStyle name="MSSStyle417" xfId="453"/>
    <cellStyle name="MSSStyle418" xfId="454"/>
    <cellStyle name="MSSStyle419" xfId="455"/>
    <cellStyle name="MSSStyle420" xfId="456"/>
    <cellStyle name="MSSStyle421" xfId="457"/>
    <cellStyle name="MSSStyle422" xfId="458"/>
    <cellStyle name="MSSStyle423" xfId="459"/>
    <cellStyle name="MSSStyle424" xfId="460"/>
    <cellStyle name="MSSStyle425" xfId="461"/>
    <cellStyle name="MSSStyle426" xfId="462"/>
    <cellStyle name="MSSStyle427" xfId="463"/>
    <cellStyle name="MSSStyle428" xfId="464"/>
    <cellStyle name="MSSStyle429" xfId="465"/>
    <cellStyle name="MSSStyle430" xfId="466"/>
    <cellStyle name="MSSStyle431" xfId="467"/>
    <cellStyle name="MSSStyle432" xfId="468"/>
    <cellStyle name="MSSStyle433" xfId="469"/>
    <cellStyle name="MSSStyle434" xfId="470"/>
    <cellStyle name="MSSStyle435" xfId="471"/>
    <cellStyle name="MSSStyle436" xfId="472"/>
    <cellStyle name="MSSStyle437" xfId="473"/>
    <cellStyle name="MSSStyle438" xfId="474"/>
    <cellStyle name="MSSStyle439" xfId="475"/>
    <cellStyle name="MSSStyle440" xfId="476"/>
    <cellStyle name="MSSStyle441" xfId="477"/>
    <cellStyle name="MSSStyle442" xfId="478"/>
    <cellStyle name="MSSStyle443" xfId="479"/>
    <cellStyle name="MSSStyle444" xfId="480"/>
    <cellStyle name="MSSStyle445" xfId="481"/>
    <cellStyle name="MSSStyle446" xfId="482"/>
    <cellStyle name="MSSStyle447" xfId="483"/>
    <cellStyle name="MSSStyle448" xfId="484"/>
    <cellStyle name="MSSStyle449" xfId="485"/>
    <cellStyle name="MSSStyle450" xfId="486"/>
    <cellStyle name="MSSStyle451" xfId="487"/>
    <cellStyle name="MSSStyle452" xfId="488"/>
    <cellStyle name="MSSStyle453" xfId="489"/>
    <cellStyle name="MSSStyle454" xfId="490"/>
    <cellStyle name="MSSStyle455" xfId="491"/>
    <cellStyle name="MSSStyle456" xfId="492"/>
    <cellStyle name="MSSStyle457" xfId="493"/>
    <cellStyle name="MSSStyle458" xfId="494"/>
    <cellStyle name="MSSStyle459" xfId="495"/>
    <cellStyle name="MSSStyle460" xfId="496"/>
    <cellStyle name="MSSStyle461" xfId="497"/>
    <cellStyle name="MSSStyle462" xfId="498"/>
    <cellStyle name="MSSStyle463" xfId="499"/>
    <cellStyle name="MSSStyle464" xfId="500"/>
    <cellStyle name="MSSStyle465" xfId="501"/>
    <cellStyle name="MSSStyle466" xfId="502"/>
    <cellStyle name="MSSStyle467" xfId="503"/>
    <cellStyle name="Neutral" xfId="504" builtinId="28" customBuiltin="1"/>
    <cellStyle name="Normal" xfId="0" builtinId="0"/>
    <cellStyle name="Normal 2" xfId="505"/>
    <cellStyle name="Note" xfId="506" builtinId="10" customBuiltin="1"/>
    <cellStyle name="Output" xfId="507" builtinId="21" customBuiltin="1"/>
    <cellStyle name="Title" xfId="508" builtinId="15" customBuiltin="1"/>
    <cellStyle name="Total" xfId="509" builtinId="25" customBuiltin="1"/>
    <cellStyle name="Warning Text" xfId="510"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000000"/>
      <rgbColor rgb="00FFFFFF"/>
      <rgbColor rgb="00ADD8E6"/>
      <rgbColor rgb="00F0F0F0"/>
      <rgbColor rgb="00FFE0EC"/>
      <rgbColor rgb="00E0FFFF"/>
      <rgbColor rgb="00F0F0F0"/>
      <rgbColor rgb="00E6E6FA"/>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tr-TR"/>
              <a:t>Liabilities</a:t>
            </a:r>
          </a:p>
        </c:rich>
      </c:tx>
      <c:layout>
        <c:manualLayout>
          <c:xMode val="edge"/>
          <c:yMode val="edge"/>
          <c:x val="0.43634307864294741"/>
          <c:y val="2.3809523809523808E-2"/>
        </c:manualLayout>
      </c:layout>
      <c:overlay val="0"/>
      <c:spPr>
        <a:noFill/>
        <a:ln w="25400">
          <a:noFill/>
        </a:ln>
      </c:spPr>
    </c:title>
    <c:autoTitleDeleted val="0"/>
    <c:plotArea>
      <c:layout>
        <c:manualLayout>
          <c:layoutTarget val="inner"/>
          <c:xMode val="edge"/>
          <c:yMode val="edge"/>
          <c:x val="0.1087964192667861"/>
          <c:y val="0.15773855369510817"/>
          <c:w val="0.68750077706883983"/>
          <c:h val="0.52381104623281205"/>
        </c:manualLayout>
      </c:layout>
      <c:lineChart>
        <c:grouping val="standard"/>
        <c:varyColors val="0"/>
        <c:ser>
          <c:idx val="0"/>
          <c:order val="0"/>
          <c:tx>
            <c:v>Accts Payable</c:v>
          </c:tx>
          <c:spPr>
            <a:ln w="25400">
              <a:solidFill>
                <a:srgbClr val="0000FF"/>
              </a:solidFill>
              <a:prstDash val="solid"/>
            </a:ln>
          </c:spPr>
          <c:marker>
            <c:symbol val="none"/>
          </c:marker>
          <c:cat>
            <c:strRef>
              <c:f>[0]!Liabilities_Time_Period</c:f>
              <c:strCache>
                <c:ptCount val="7"/>
                <c:pt idx="0">
                  <c:v>MMM 2010</c:v>
                </c:pt>
                <c:pt idx="1">
                  <c:v>MMM 2011</c:v>
                </c:pt>
                <c:pt idx="2">
                  <c:v>MMM 2011</c:v>
                </c:pt>
                <c:pt idx="3">
                  <c:v>MMM 2011</c:v>
                </c:pt>
                <c:pt idx="4">
                  <c:v>MMM 2011</c:v>
                </c:pt>
                <c:pt idx="5">
                  <c:v>MMM 2011</c:v>
                </c:pt>
                <c:pt idx="6">
                  <c:v>MMM 2011</c:v>
                </c:pt>
              </c:strCache>
            </c:strRef>
          </c:cat>
          <c:val>
            <c:numRef>
              <c:f>[0]!Liabilities_Liabilities_Short_AcctsPay</c:f>
              <c:numCache>
                <c:formatCode>"$"#,##0_);[Red]\("$"#,##0\)</c:formatCode>
                <c:ptCount val="7"/>
                <c:pt idx="0">
                  <c:v>0</c:v>
                </c:pt>
                <c:pt idx="1">
                  <c:v>0</c:v>
                </c:pt>
                <c:pt idx="2">
                  <c:v>0</c:v>
                </c:pt>
                <c:pt idx="3">
                  <c:v>0</c:v>
                </c:pt>
                <c:pt idx="4">
                  <c:v>0</c:v>
                </c:pt>
                <c:pt idx="5">
                  <c:v>0</c:v>
                </c:pt>
                <c:pt idx="6">
                  <c:v>0</c:v>
                </c:pt>
              </c:numCache>
            </c:numRef>
          </c:val>
          <c:smooth val="0"/>
        </c:ser>
        <c:ser>
          <c:idx val="1"/>
          <c:order val="1"/>
          <c:tx>
            <c:v>Short-Term Debt</c:v>
          </c:tx>
          <c:spPr>
            <a:ln w="25400">
              <a:solidFill>
                <a:srgbClr val="993366"/>
              </a:solidFill>
              <a:prstDash val="solid"/>
            </a:ln>
          </c:spPr>
          <c:marker>
            <c:symbol val="none"/>
          </c:marker>
          <c:cat>
            <c:strRef>
              <c:f>[0]!Liabilities_Time_Period</c:f>
              <c:strCache>
                <c:ptCount val="7"/>
                <c:pt idx="0">
                  <c:v>MMM 2010</c:v>
                </c:pt>
                <c:pt idx="1">
                  <c:v>MMM 2011</c:v>
                </c:pt>
                <c:pt idx="2">
                  <c:v>MMM 2011</c:v>
                </c:pt>
                <c:pt idx="3">
                  <c:v>MMM 2011</c:v>
                </c:pt>
                <c:pt idx="4">
                  <c:v>MMM 2011</c:v>
                </c:pt>
                <c:pt idx="5">
                  <c:v>MMM 2011</c:v>
                </c:pt>
                <c:pt idx="6">
                  <c:v>MMM 2011</c:v>
                </c:pt>
              </c:strCache>
            </c:strRef>
          </c:cat>
          <c:val>
            <c:numRef>
              <c:f>[0]!Liabilities_Liabilities_Short_ShortDebt</c:f>
              <c:numCache>
                <c:formatCode>"$"#,##0_);[Red]\("$"#,##0\)</c:formatCode>
                <c:ptCount val="7"/>
                <c:pt idx="0">
                  <c:v>0</c:v>
                </c:pt>
                <c:pt idx="1">
                  <c:v>0</c:v>
                </c:pt>
                <c:pt idx="2">
                  <c:v>0</c:v>
                </c:pt>
                <c:pt idx="3">
                  <c:v>0</c:v>
                </c:pt>
                <c:pt idx="4">
                  <c:v>0</c:v>
                </c:pt>
                <c:pt idx="5">
                  <c:v>0</c:v>
                </c:pt>
                <c:pt idx="6">
                  <c:v>0</c:v>
                </c:pt>
              </c:numCache>
            </c:numRef>
          </c:val>
          <c:smooth val="0"/>
        </c:ser>
        <c:ser>
          <c:idx val="3"/>
          <c:order val="2"/>
          <c:tx>
            <c:v>Long-Term Loans</c:v>
          </c:tx>
          <c:spPr>
            <a:ln w="25400">
              <a:solidFill>
                <a:srgbClr val="666699"/>
              </a:solidFill>
              <a:prstDash val="solid"/>
            </a:ln>
          </c:spPr>
          <c:marker>
            <c:symbol val="none"/>
          </c:marker>
          <c:cat>
            <c:strRef>
              <c:f>[0]!Liabilities_Time_Period</c:f>
              <c:strCache>
                <c:ptCount val="7"/>
                <c:pt idx="0">
                  <c:v>MMM 2010</c:v>
                </c:pt>
                <c:pt idx="1">
                  <c:v>MMM 2011</c:v>
                </c:pt>
                <c:pt idx="2">
                  <c:v>MMM 2011</c:v>
                </c:pt>
                <c:pt idx="3">
                  <c:v>MMM 2011</c:v>
                </c:pt>
                <c:pt idx="4">
                  <c:v>MMM 2011</c:v>
                </c:pt>
                <c:pt idx="5">
                  <c:v>MMM 2011</c:v>
                </c:pt>
                <c:pt idx="6">
                  <c:v>MMM 2011</c:v>
                </c:pt>
              </c:strCache>
            </c:strRef>
          </c:cat>
          <c:val>
            <c:numRef>
              <c:f>[0]!Liabilities_Liabilities_Long_Long_Term_Loans</c:f>
              <c:numCache>
                <c:formatCode>"$"#,##0_);[Red]\("$"#,##0\)</c:formatCode>
                <c:ptCount val="7"/>
                <c:pt idx="0">
                  <c:v>0</c:v>
                </c:pt>
                <c:pt idx="1">
                  <c:v>0</c:v>
                </c:pt>
                <c:pt idx="2">
                  <c:v>0</c:v>
                </c:pt>
                <c:pt idx="3">
                  <c:v>0</c:v>
                </c:pt>
                <c:pt idx="4">
                  <c:v>0</c:v>
                </c:pt>
                <c:pt idx="5">
                  <c:v>0</c:v>
                </c:pt>
                <c:pt idx="6">
                  <c:v>0</c:v>
                </c:pt>
              </c:numCache>
            </c:numRef>
          </c:val>
          <c:smooth val="0"/>
        </c:ser>
        <c:ser>
          <c:idx val="4"/>
          <c:order val="3"/>
          <c:tx>
            <c:v>Bonds</c:v>
          </c:tx>
          <c:spPr>
            <a:ln w="25400">
              <a:solidFill>
                <a:srgbClr val="33CCCC"/>
              </a:solidFill>
              <a:prstDash val="solid"/>
            </a:ln>
          </c:spPr>
          <c:marker>
            <c:symbol val="none"/>
          </c:marker>
          <c:cat>
            <c:strRef>
              <c:f>[0]!Liabilities_Time_Period</c:f>
              <c:strCache>
                <c:ptCount val="7"/>
                <c:pt idx="0">
                  <c:v>MMM 2010</c:v>
                </c:pt>
                <c:pt idx="1">
                  <c:v>MMM 2011</c:v>
                </c:pt>
                <c:pt idx="2">
                  <c:v>MMM 2011</c:v>
                </c:pt>
                <c:pt idx="3">
                  <c:v>MMM 2011</c:v>
                </c:pt>
                <c:pt idx="4">
                  <c:v>MMM 2011</c:v>
                </c:pt>
                <c:pt idx="5">
                  <c:v>MMM 2011</c:v>
                </c:pt>
                <c:pt idx="6">
                  <c:v>MMM 2011</c:v>
                </c:pt>
              </c:strCache>
            </c:strRef>
          </c:cat>
          <c:val>
            <c:numRef>
              <c:f>[0]!Liabilities_Liabilities_Long_Bonds</c:f>
              <c:numCache>
                <c:formatCode>"$"#,##0_);[Red]\("$"#,##0\)</c:formatCode>
                <c:ptCount val="7"/>
                <c:pt idx="0">
                  <c:v>0</c:v>
                </c:pt>
                <c:pt idx="1">
                  <c:v>0</c:v>
                </c:pt>
                <c:pt idx="2">
                  <c:v>0</c:v>
                </c:pt>
                <c:pt idx="3">
                  <c:v>0</c:v>
                </c:pt>
                <c:pt idx="4">
                  <c:v>0</c:v>
                </c:pt>
                <c:pt idx="5">
                  <c:v>0</c:v>
                </c:pt>
                <c:pt idx="6">
                  <c:v>0</c:v>
                </c:pt>
              </c:numCache>
            </c:numRef>
          </c:val>
          <c:smooth val="0"/>
        </c:ser>
        <c:dLbls>
          <c:showLegendKey val="0"/>
          <c:showVal val="0"/>
          <c:showCatName val="0"/>
          <c:showSerName val="0"/>
          <c:showPercent val="0"/>
          <c:showBubbleSize val="0"/>
        </c:dLbls>
        <c:smooth val="0"/>
        <c:axId val="415718936"/>
        <c:axId val="415716192"/>
      </c:lineChart>
      <c:catAx>
        <c:axId val="415718936"/>
        <c:scaling>
          <c:orientation val="minMax"/>
        </c:scaling>
        <c:delete val="0"/>
        <c:axPos val="b"/>
        <c:numFmt formatCode="General" sourceLinked="1"/>
        <c:majorTickMark val="out"/>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tr-TR"/>
          </a:p>
        </c:txPr>
        <c:crossAx val="415716192"/>
        <c:crosses val="autoZero"/>
        <c:auto val="0"/>
        <c:lblAlgn val="ctr"/>
        <c:lblOffset val="100"/>
        <c:tickLblSkip val="1"/>
        <c:tickMarkSkip val="1"/>
        <c:noMultiLvlLbl val="0"/>
      </c:catAx>
      <c:valAx>
        <c:axId val="415716192"/>
        <c:scaling>
          <c:orientation val="minMax"/>
        </c:scaling>
        <c:delete val="0"/>
        <c:axPos val="l"/>
        <c:majorGridlines>
          <c:spPr>
            <a:ln w="3175">
              <a:solidFill>
                <a:srgbClr val="808080"/>
              </a:solidFill>
              <a:prstDash val="solid"/>
            </a:ln>
          </c:spPr>
        </c:majorGridlines>
        <c:numFmt formatCode="&quot;$&quot;#,##0_);[Red]\(&quot;$&quot;#,##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tr-TR"/>
          </a:p>
        </c:txPr>
        <c:crossAx val="415718936"/>
        <c:crosses val="autoZero"/>
        <c:crossBetween val="between"/>
      </c:valAx>
      <c:spPr>
        <a:solidFill>
          <a:srgbClr val="FFFFFF"/>
        </a:solidFill>
        <a:ln w="25400">
          <a:noFill/>
        </a:ln>
      </c:spPr>
    </c:plotArea>
    <c:legend>
      <c:legendPos val="r"/>
      <c:layout>
        <c:manualLayout>
          <c:xMode val="edge"/>
          <c:yMode val="edge"/>
          <c:x val="0.79629714688441711"/>
          <c:y val="0.15178602674665664"/>
          <c:w val="0.19444468746962185"/>
          <c:h val="0.46428696412948378"/>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tr-TR"/>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tr-TR"/>
    </a:p>
  </c:txPr>
  <c:printSettings>
    <c:headerFooter alignWithMargins="0">
      <c:oddFooter>&amp;C</c:oddFooter>
    </c:headerFooter>
    <c:pageMargins b="0.75000000000000078" l="0.70000000000000062" r="0.70000000000000062" t="0.75000000000000078"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tr-TR"/>
              <a:t>Equity</a:t>
            </a:r>
          </a:p>
        </c:rich>
      </c:tx>
      <c:layout>
        <c:manualLayout>
          <c:xMode val="edge"/>
          <c:yMode val="edge"/>
          <c:x val="0.46643567123553997"/>
          <c:y val="2.3809523809523808E-2"/>
        </c:manualLayout>
      </c:layout>
      <c:overlay val="0"/>
      <c:spPr>
        <a:noFill/>
        <a:ln w="25400">
          <a:noFill/>
        </a:ln>
      </c:spPr>
    </c:title>
    <c:autoTitleDeleted val="0"/>
    <c:plotArea>
      <c:layout>
        <c:manualLayout>
          <c:layoutTarget val="inner"/>
          <c:xMode val="edge"/>
          <c:yMode val="edge"/>
          <c:x val="0.12962977614766003"/>
          <c:y val="0.13095276155820301"/>
          <c:w val="0.67824150734400701"/>
          <c:h val="0.54166824099074884"/>
        </c:manualLayout>
      </c:layout>
      <c:lineChart>
        <c:grouping val="standard"/>
        <c:varyColors val="0"/>
        <c:ser>
          <c:idx val="0"/>
          <c:order val="0"/>
          <c:tx>
            <c:v>Paid-in capital</c:v>
          </c:tx>
          <c:spPr>
            <a:ln w="25400">
              <a:solidFill>
                <a:srgbClr val="3366FF"/>
              </a:solidFill>
              <a:prstDash val="solid"/>
            </a:ln>
          </c:spPr>
          <c:marker>
            <c:symbol val="none"/>
          </c:marker>
          <c:cat>
            <c:strRef>
              <c:f>[0]!Assets_Time_Period</c:f>
              <c:strCache>
                <c:ptCount val="7"/>
                <c:pt idx="0">
                  <c:v>MMM 2010</c:v>
                </c:pt>
                <c:pt idx="1">
                  <c:v>MMM 2011</c:v>
                </c:pt>
                <c:pt idx="2">
                  <c:v>MMM 2011</c:v>
                </c:pt>
                <c:pt idx="3">
                  <c:v>MMM 2011</c:v>
                </c:pt>
                <c:pt idx="4">
                  <c:v>MMM 2011</c:v>
                </c:pt>
                <c:pt idx="5">
                  <c:v>MMM 2011</c:v>
                </c:pt>
                <c:pt idx="6">
                  <c:v>MMM 2011</c:v>
                </c:pt>
              </c:strCache>
            </c:strRef>
          </c:cat>
          <c:val>
            <c:numRef>
              <c:f>[0]!Equity_Equity_PaidinCap</c:f>
              <c:numCache>
                <c:formatCode>"$"#,##0_);[Red]\("$"#,##0\)</c:formatCode>
                <c:ptCount val="7"/>
                <c:pt idx="0">
                  <c:v>0</c:v>
                </c:pt>
                <c:pt idx="1">
                  <c:v>0</c:v>
                </c:pt>
                <c:pt idx="2">
                  <c:v>0</c:v>
                </c:pt>
                <c:pt idx="3">
                  <c:v>0</c:v>
                </c:pt>
                <c:pt idx="4">
                  <c:v>0</c:v>
                </c:pt>
                <c:pt idx="5">
                  <c:v>0</c:v>
                </c:pt>
                <c:pt idx="6">
                  <c:v>0</c:v>
                </c:pt>
              </c:numCache>
            </c:numRef>
          </c:val>
          <c:smooth val="0"/>
        </c:ser>
        <c:ser>
          <c:idx val="1"/>
          <c:order val="1"/>
          <c:tx>
            <c:v>Retained Earnings</c:v>
          </c:tx>
          <c:spPr>
            <a:ln w="25400">
              <a:solidFill>
                <a:srgbClr val="000000"/>
              </a:solidFill>
              <a:prstDash val="solid"/>
            </a:ln>
          </c:spPr>
          <c:marker>
            <c:symbol val="none"/>
          </c:marker>
          <c:val>
            <c:numRef>
              <c:f>[0]!Equity_Equity_RetainedEarnings</c:f>
              <c:numCache>
                <c:formatCode>"$"#,##0_);[Red]\("$"#,##0\)</c:formatCode>
                <c:ptCount val="7"/>
                <c:pt idx="0">
                  <c:v>0</c:v>
                </c:pt>
                <c:pt idx="1">
                  <c:v>0</c:v>
                </c:pt>
                <c:pt idx="2">
                  <c:v>0</c:v>
                </c:pt>
                <c:pt idx="3">
                  <c:v>0</c:v>
                </c:pt>
                <c:pt idx="4">
                  <c:v>0</c:v>
                </c:pt>
                <c:pt idx="5">
                  <c:v>0</c:v>
                </c:pt>
                <c:pt idx="6">
                  <c:v>0</c:v>
                </c:pt>
              </c:numCache>
            </c:numRef>
          </c:val>
          <c:smooth val="0"/>
        </c:ser>
        <c:dLbls>
          <c:showLegendKey val="0"/>
          <c:showVal val="0"/>
          <c:showCatName val="0"/>
          <c:showSerName val="0"/>
          <c:showPercent val="0"/>
          <c:showBubbleSize val="0"/>
        </c:dLbls>
        <c:smooth val="0"/>
        <c:axId val="415715800"/>
        <c:axId val="415717760"/>
      </c:lineChart>
      <c:catAx>
        <c:axId val="415715800"/>
        <c:scaling>
          <c:orientation val="minMax"/>
        </c:scaling>
        <c:delete val="0"/>
        <c:axPos val="b"/>
        <c:numFmt formatCode="General" sourceLinked="1"/>
        <c:majorTickMark val="out"/>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tr-TR"/>
          </a:p>
        </c:txPr>
        <c:crossAx val="415717760"/>
        <c:crosses val="autoZero"/>
        <c:auto val="0"/>
        <c:lblAlgn val="ctr"/>
        <c:lblOffset val="100"/>
        <c:tickLblSkip val="1"/>
        <c:tickMarkSkip val="1"/>
        <c:noMultiLvlLbl val="0"/>
      </c:catAx>
      <c:valAx>
        <c:axId val="415717760"/>
        <c:scaling>
          <c:orientation val="minMax"/>
        </c:scaling>
        <c:delete val="0"/>
        <c:axPos val="l"/>
        <c:majorGridlines>
          <c:spPr>
            <a:ln w="3175">
              <a:solidFill>
                <a:srgbClr val="808080"/>
              </a:solidFill>
              <a:prstDash val="solid"/>
            </a:ln>
          </c:spPr>
        </c:majorGridlines>
        <c:numFmt formatCode="&quot;$&quot;#,##0_);[Red]\(&quot;$&quot;#,##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tr-TR"/>
          </a:p>
        </c:txPr>
        <c:crossAx val="415715800"/>
        <c:crosses val="autoZero"/>
        <c:crossBetween val="between"/>
      </c:valAx>
      <c:spPr>
        <a:solidFill>
          <a:srgbClr val="FFFFFF"/>
        </a:solidFill>
        <a:ln w="25400">
          <a:noFill/>
        </a:ln>
      </c:spPr>
    </c:plotArea>
    <c:legend>
      <c:legendPos val="r"/>
      <c:layout>
        <c:manualLayout>
          <c:xMode val="edge"/>
          <c:yMode val="edge"/>
          <c:x val="0.81597319432293181"/>
          <c:y val="0.21131014873140858"/>
          <c:w val="0.17013913191406627"/>
          <c:h val="0.2797628421447319"/>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tr-TR"/>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tr-TR"/>
    </a:p>
  </c:txPr>
  <c:printSettings>
    <c:headerFooter alignWithMargins="0">
      <c:oddFooter>&amp;C</c:oddFooter>
    </c:headerFooter>
    <c:pageMargins b="0.750000000000001" l="0.70000000000000062" r="0.70000000000000062" t="0.750000000000001"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tr-TR"/>
              <a:t>Margins</a:t>
            </a:r>
          </a:p>
        </c:rich>
      </c:tx>
      <c:layout>
        <c:manualLayout>
          <c:xMode val="edge"/>
          <c:yMode val="edge"/>
          <c:x val="0.45833381938368811"/>
          <c:y val="2.3809523809523808E-2"/>
        </c:manualLayout>
      </c:layout>
      <c:overlay val="0"/>
      <c:spPr>
        <a:noFill/>
        <a:ln w="25400">
          <a:noFill/>
        </a:ln>
      </c:spPr>
    </c:title>
    <c:autoTitleDeleted val="0"/>
    <c:plotArea>
      <c:layout>
        <c:manualLayout>
          <c:layoutTarget val="inner"/>
          <c:xMode val="edge"/>
          <c:yMode val="edge"/>
          <c:x val="0.12615755000084772"/>
          <c:y val="0.13392896068452581"/>
          <c:w val="0.67592668991279869"/>
          <c:h val="0.54762063924339432"/>
        </c:manualLayout>
      </c:layout>
      <c:lineChart>
        <c:grouping val="standard"/>
        <c:varyColors val="0"/>
        <c:ser>
          <c:idx val="0"/>
          <c:order val="0"/>
          <c:tx>
            <c:v>Revenue</c:v>
          </c:tx>
          <c:spPr>
            <a:ln w="25400">
              <a:solidFill>
                <a:srgbClr val="0000FF"/>
              </a:solidFill>
              <a:prstDash val="solid"/>
            </a:ln>
          </c:spPr>
          <c:marker>
            <c:symbol val="none"/>
          </c:marker>
          <c:cat>
            <c:strRef>
              <c:f>[0]!Revenue_Time_Period</c:f>
              <c:strCache>
                <c:ptCount val="6"/>
                <c:pt idx="0">
                  <c:v>MMM 2011</c:v>
                </c:pt>
                <c:pt idx="1">
                  <c:v>MMM 2011</c:v>
                </c:pt>
                <c:pt idx="2">
                  <c:v>MMM 2011</c:v>
                </c:pt>
                <c:pt idx="3">
                  <c:v>MMM 2011</c:v>
                </c:pt>
                <c:pt idx="4">
                  <c:v>MMM 2011</c:v>
                </c:pt>
                <c:pt idx="5">
                  <c:v>MMM 2011</c:v>
                </c:pt>
              </c:strCache>
            </c:strRef>
          </c:cat>
          <c:val>
            <c:numRef>
              <c:f>[0]!Revenue_Sales_Locations</c:f>
              <c:numCache>
                <c:formatCode>"$"#,##0_);[Red]\("$"#,##0\)</c:formatCode>
                <c:ptCount val="6"/>
                <c:pt idx="0">
                  <c:v>0</c:v>
                </c:pt>
                <c:pt idx="1">
                  <c:v>0</c:v>
                </c:pt>
                <c:pt idx="2">
                  <c:v>0</c:v>
                </c:pt>
                <c:pt idx="3">
                  <c:v>0</c:v>
                </c:pt>
                <c:pt idx="4">
                  <c:v>0</c:v>
                </c:pt>
                <c:pt idx="5">
                  <c:v>0</c:v>
                </c:pt>
              </c:numCache>
            </c:numRef>
          </c:val>
          <c:smooth val="0"/>
        </c:ser>
        <c:ser>
          <c:idx val="1"/>
          <c:order val="1"/>
          <c:tx>
            <c:v>Gross Margin</c:v>
          </c:tx>
          <c:spPr>
            <a:ln w="25400">
              <a:solidFill>
                <a:srgbClr val="FF0000"/>
              </a:solidFill>
              <a:prstDash val="solid"/>
            </a:ln>
          </c:spPr>
          <c:marker>
            <c:symbol val="none"/>
          </c:marker>
          <c:val>
            <c:numRef>
              <c:f>[0]!Gross_Margin_Sales_Locations</c:f>
              <c:numCache>
                <c:formatCode>"$"#,##0_);[Red]\("$"#,##0\)</c:formatCode>
                <c:ptCount val="6"/>
                <c:pt idx="0">
                  <c:v>0</c:v>
                </c:pt>
                <c:pt idx="1">
                  <c:v>0</c:v>
                </c:pt>
                <c:pt idx="2">
                  <c:v>0</c:v>
                </c:pt>
                <c:pt idx="3">
                  <c:v>0</c:v>
                </c:pt>
                <c:pt idx="4">
                  <c:v>0</c:v>
                </c:pt>
                <c:pt idx="5">
                  <c:v>0</c:v>
                </c:pt>
              </c:numCache>
            </c:numRef>
          </c:val>
          <c:smooth val="0"/>
        </c:ser>
        <c:ser>
          <c:idx val="2"/>
          <c:order val="2"/>
          <c:tx>
            <c:v>Operating Margin</c:v>
          </c:tx>
          <c:spPr>
            <a:ln w="25400">
              <a:solidFill>
                <a:srgbClr val="339966"/>
              </a:solidFill>
              <a:prstDash val="solid"/>
            </a:ln>
          </c:spPr>
          <c:marker>
            <c:symbol val="none"/>
          </c:marker>
          <c:val>
            <c:numRef>
              <c:f>[0]!Operating_Margin</c:f>
              <c:numCache>
                <c:formatCode>"$"#,##0_);[Red]\("$"#,##0\)</c:formatCode>
                <c:ptCount val="6"/>
                <c:pt idx="0">
                  <c:v>0</c:v>
                </c:pt>
                <c:pt idx="1">
                  <c:v>0</c:v>
                </c:pt>
                <c:pt idx="2">
                  <c:v>0</c:v>
                </c:pt>
                <c:pt idx="3">
                  <c:v>0</c:v>
                </c:pt>
                <c:pt idx="4">
                  <c:v>0</c:v>
                </c:pt>
                <c:pt idx="5">
                  <c:v>0</c:v>
                </c:pt>
              </c:numCache>
            </c:numRef>
          </c:val>
          <c:smooth val="0"/>
        </c:ser>
        <c:ser>
          <c:idx val="3"/>
          <c:order val="3"/>
          <c:tx>
            <c:v>Net Income</c:v>
          </c:tx>
          <c:spPr>
            <a:ln w="25400">
              <a:solidFill>
                <a:srgbClr val="000000"/>
              </a:solidFill>
              <a:prstDash val="solid"/>
            </a:ln>
          </c:spPr>
          <c:marker>
            <c:symbol val="none"/>
          </c:marker>
          <c:val>
            <c:numRef>
              <c:f>[0]!Net_Income</c:f>
              <c:numCache>
                <c:formatCode>"$"#,##0_);[Red]\("$"#,##0\)</c:formatCode>
                <c:ptCount val="6"/>
                <c:pt idx="0">
                  <c:v>0</c:v>
                </c:pt>
                <c:pt idx="1">
                  <c:v>0</c:v>
                </c:pt>
                <c:pt idx="2">
                  <c:v>0</c:v>
                </c:pt>
                <c:pt idx="3">
                  <c:v>0</c:v>
                </c:pt>
                <c:pt idx="4">
                  <c:v>0</c:v>
                </c:pt>
                <c:pt idx="5">
                  <c:v>0</c:v>
                </c:pt>
              </c:numCache>
            </c:numRef>
          </c:val>
          <c:smooth val="0"/>
        </c:ser>
        <c:dLbls>
          <c:showLegendKey val="0"/>
          <c:showVal val="0"/>
          <c:showCatName val="0"/>
          <c:showSerName val="0"/>
          <c:showPercent val="0"/>
          <c:showBubbleSize val="0"/>
        </c:dLbls>
        <c:smooth val="0"/>
        <c:axId val="415718152"/>
        <c:axId val="415716584"/>
      </c:lineChart>
      <c:catAx>
        <c:axId val="415718152"/>
        <c:scaling>
          <c:orientation val="minMax"/>
        </c:scaling>
        <c:delete val="0"/>
        <c:axPos val="b"/>
        <c:numFmt formatCode="General" sourceLinked="1"/>
        <c:majorTickMark val="out"/>
        <c:minorTickMark val="none"/>
        <c:tickLblPos val="low"/>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tr-TR"/>
          </a:p>
        </c:txPr>
        <c:crossAx val="415716584"/>
        <c:crosses val="autoZero"/>
        <c:auto val="0"/>
        <c:lblAlgn val="ctr"/>
        <c:lblOffset val="100"/>
        <c:tickLblSkip val="1"/>
        <c:tickMarkSkip val="1"/>
        <c:noMultiLvlLbl val="0"/>
      </c:catAx>
      <c:valAx>
        <c:axId val="415716584"/>
        <c:scaling>
          <c:orientation val="minMax"/>
        </c:scaling>
        <c:delete val="0"/>
        <c:axPos val="l"/>
        <c:majorGridlines>
          <c:spPr>
            <a:ln w="3175">
              <a:solidFill>
                <a:srgbClr val="808080"/>
              </a:solidFill>
              <a:prstDash val="solid"/>
            </a:ln>
          </c:spPr>
        </c:majorGridlines>
        <c:numFmt formatCode="&quot;$&quot;#,##0_);[Red]\(&quot;$&quot;#,##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tr-TR"/>
          </a:p>
        </c:txPr>
        <c:crossAx val="415718152"/>
        <c:crosses val="autoZero"/>
        <c:crossBetween val="between"/>
      </c:valAx>
      <c:spPr>
        <a:solidFill>
          <a:srgbClr val="FFFFFF"/>
        </a:solidFill>
        <a:ln w="25400">
          <a:noFill/>
        </a:ln>
      </c:spPr>
    </c:plotArea>
    <c:legend>
      <c:legendPos val="r"/>
      <c:layout>
        <c:manualLayout>
          <c:xMode val="edge"/>
          <c:yMode val="edge"/>
          <c:x val="0.80787134247107995"/>
          <c:y val="9.8214598175228096E-2"/>
          <c:w val="0.17939839117332557"/>
          <c:h val="0.62202568428946381"/>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tr-TR"/>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tr-TR"/>
    </a:p>
  </c:txPr>
  <c:printSettings>
    <c:headerFooter alignWithMargins="0">
      <c:oddFooter>&amp;C</c:oddFooter>
    </c:headerFooter>
    <c:pageMargins b="0.75000000000000078" l="0.70000000000000062" r="0.70000000000000062" t="0.75000000000000078"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tr-TR"/>
              <a:t>Assets</a:t>
            </a:r>
          </a:p>
        </c:rich>
      </c:tx>
      <c:layout>
        <c:manualLayout>
          <c:xMode val="edge"/>
          <c:yMode val="edge"/>
          <c:x val="0.45717641197628073"/>
          <c:y val="2.3809523809523808E-2"/>
        </c:manualLayout>
      </c:layout>
      <c:overlay val="0"/>
      <c:spPr>
        <a:noFill/>
        <a:ln w="25400">
          <a:noFill/>
        </a:ln>
      </c:spPr>
    </c:title>
    <c:autoTitleDeleted val="0"/>
    <c:plotArea>
      <c:layout>
        <c:manualLayout>
          <c:layoutTarget val="inner"/>
          <c:xMode val="edge"/>
          <c:yMode val="edge"/>
          <c:x val="0.107639010551182"/>
          <c:y val="0.12202416417923462"/>
          <c:w val="0.68055632477521522"/>
          <c:h val="0.669644803422629"/>
        </c:manualLayout>
      </c:layout>
      <c:lineChart>
        <c:grouping val="standard"/>
        <c:varyColors val="0"/>
        <c:ser>
          <c:idx val="2"/>
          <c:order val="0"/>
          <c:tx>
            <c:v>Cash</c:v>
          </c:tx>
          <c:spPr>
            <a:ln w="25400">
              <a:solidFill>
                <a:srgbClr val="339966"/>
              </a:solidFill>
              <a:prstDash val="solid"/>
            </a:ln>
          </c:spPr>
          <c:marker>
            <c:symbol val="none"/>
          </c:marker>
          <c:val>
            <c:numRef>
              <c:f>[0]!Assets_Assets_Short_Cash</c:f>
              <c:numCache>
                <c:formatCode>"$"#,##0_);[Red]\("$"#,##0\)</c:formatCode>
                <c:ptCount val="7"/>
                <c:pt idx="0">
                  <c:v>0</c:v>
                </c:pt>
                <c:pt idx="1">
                  <c:v>0</c:v>
                </c:pt>
                <c:pt idx="2">
                  <c:v>0</c:v>
                </c:pt>
                <c:pt idx="3">
                  <c:v>0</c:v>
                </c:pt>
                <c:pt idx="4">
                  <c:v>0</c:v>
                </c:pt>
                <c:pt idx="5">
                  <c:v>0</c:v>
                </c:pt>
                <c:pt idx="6">
                  <c:v>0</c:v>
                </c:pt>
              </c:numCache>
            </c:numRef>
          </c:val>
          <c:smooth val="0"/>
        </c:ser>
        <c:ser>
          <c:idx val="0"/>
          <c:order val="1"/>
          <c:tx>
            <c:v>Accts Receivable</c:v>
          </c:tx>
          <c:spPr>
            <a:ln w="25400">
              <a:solidFill>
                <a:srgbClr val="0000FF"/>
              </a:solidFill>
              <a:prstDash val="solid"/>
            </a:ln>
          </c:spPr>
          <c:marker>
            <c:symbol val="none"/>
          </c:marker>
          <c:cat>
            <c:strRef>
              <c:f>[0]!Revenue_Time_Period</c:f>
              <c:strCache>
                <c:ptCount val="6"/>
                <c:pt idx="0">
                  <c:v>MMM 2011</c:v>
                </c:pt>
                <c:pt idx="1">
                  <c:v>MMM 2011</c:v>
                </c:pt>
                <c:pt idx="2">
                  <c:v>MMM 2011</c:v>
                </c:pt>
                <c:pt idx="3">
                  <c:v>MMM 2011</c:v>
                </c:pt>
                <c:pt idx="4">
                  <c:v>MMM 2011</c:v>
                </c:pt>
                <c:pt idx="5">
                  <c:v>MMM 2011</c:v>
                </c:pt>
              </c:strCache>
            </c:strRef>
          </c:cat>
          <c:val>
            <c:numRef>
              <c:f>[0]!Assets_Assets_Short_AcctsRec</c:f>
              <c:numCache>
                <c:formatCode>"$"#,##0_);[Red]\("$"#,##0\)</c:formatCode>
                <c:ptCount val="7"/>
                <c:pt idx="0">
                  <c:v>0</c:v>
                </c:pt>
                <c:pt idx="1">
                  <c:v>0</c:v>
                </c:pt>
                <c:pt idx="2">
                  <c:v>0</c:v>
                </c:pt>
                <c:pt idx="3">
                  <c:v>0</c:v>
                </c:pt>
                <c:pt idx="4">
                  <c:v>0</c:v>
                </c:pt>
                <c:pt idx="5">
                  <c:v>0</c:v>
                </c:pt>
                <c:pt idx="6">
                  <c:v>0</c:v>
                </c:pt>
              </c:numCache>
            </c:numRef>
          </c:val>
          <c:smooth val="0"/>
        </c:ser>
        <c:ser>
          <c:idx val="3"/>
          <c:order val="2"/>
          <c:tx>
            <c:v>Inventory</c:v>
          </c:tx>
          <c:spPr>
            <a:ln w="25400">
              <a:solidFill>
                <a:srgbClr val="000000"/>
              </a:solidFill>
              <a:prstDash val="solid"/>
            </a:ln>
          </c:spPr>
          <c:marker>
            <c:symbol val="none"/>
          </c:marker>
          <c:val>
            <c:numRef>
              <c:f>[0]!Assets_Assets_Short_Inventory</c:f>
              <c:numCache>
                <c:formatCode>"$"#,##0_);[Red]\("$"#,##0\)</c:formatCode>
                <c:ptCount val="7"/>
                <c:pt idx="0">
                  <c:v>0</c:v>
                </c:pt>
                <c:pt idx="1">
                  <c:v>0</c:v>
                </c:pt>
                <c:pt idx="2">
                  <c:v>0</c:v>
                </c:pt>
                <c:pt idx="3">
                  <c:v>0</c:v>
                </c:pt>
                <c:pt idx="4">
                  <c:v>0</c:v>
                </c:pt>
                <c:pt idx="5">
                  <c:v>0</c:v>
                </c:pt>
                <c:pt idx="6">
                  <c:v>0</c:v>
                </c:pt>
              </c:numCache>
            </c:numRef>
          </c:val>
          <c:smooth val="0"/>
        </c:ser>
        <c:ser>
          <c:idx val="1"/>
          <c:order val="3"/>
          <c:tx>
            <c:v>Long-Term Assets</c:v>
          </c:tx>
          <c:spPr>
            <a:ln w="25400">
              <a:solidFill>
                <a:srgbClr val="FF0000"/>
              </a:solidFill>
              <a:prstDash val="solid"/>
            </a:ln>
          </c:spPr>
          <c:marker>
            <c:symbol val="none"/>
          </c:marker>
          <c:val>
            <c:numRef>
              <c:f>[0]!Assets_Assets_Long</c:f>
              <c:numCache>
                <c:formatCode>"$"#,##0_);[Red]\("$"#,##0\)</c:formatCode>
                <c:ptCount val="7"/>
                <c:pt idx="0">
                  <c:v>0</c:v>
                </c:pt>
                <c:pt idx="1">
                  <c:v>0</c:v>
                </c:pt>
                <c:pt idx="2">
                  <c:v>0</c:v>
                </c:pt>
                <c:pt idx="3">
                  <c:v>0</c:v>
                </c:pt>
                <c:pt idx="4">
                  <c:v>0</c:v>
                </c:pt>
                <c:pt idx="5">
                  <c:v>0</c:v>
                </c:pt>
                <c:pt idx="6">
                  <c:v>0</c:v>
                </c:pt>
              </c:numCache>
            </c:numRef>
          </c:val>
          <c:smooth val="0"/>
        </c:ser>
        <c:dLbls>
          <c:showLegendKey val="0"/>
          <c:showVal val="0"/>
          <c:showCatName val="0"/>
          <c:showSerName val="0"/>
          <c:showPercent val="0"/>
          <c:showBubbleSize val="0"/>
        </c:dLbls>
        <c:smooth val="0"/>
        <c:axId val="415717368"/>
        <c:axId val="521815016"/>
      </c:lineChart>
      <c:catAx>
        <c:axId val="415717368"/>
        <c:scaling>
          <c:orientation val="minMax"/>
        </c:scaling>
        <c:delete val="0"/>
        <c:axPos val="b"/>
        <c:numFmt formatCode="General" sourceLinked="1"/>
        <c:majorTickMark val="out"/>
        <c:minorTickMark val="none"/>
        <c:tickLblPos val="low"/>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tr-TR"/>
          </a:p>
        </c:txPr>
        <c:crossAx val="521815016"/>
        <c:crosses val="autoZero"/>
        <c:auto val="0"/>
        <c:lblAlgn val="ctr"/>
        <c:lblOffset val="100"/>
        <c:tickLblSkip val="1"/>
        <c:tickMarkSkip val="1"/>
        <c:noMultiLvlLbl val="0"/>
      </c:catAx>
      <c:valAx>
        <c:axId val="521815016"/>
        <c:scaling>
          <c:orientation val="minMax"/>
        </c:scaling>
        <c:delete val="0"/>
        <c:axPos val="l"/>
        <c:majorGridlines>
          <c:spPr>
            <a:ln w="3175">
              <a:solidFill>
                <a:srgbClr val="808080"/>
              </a:solidFill>
              <a:prstDash val="solid"/>
            </a:ln>
          </c:spPr>
        </c:majorGridlines>
        <c:numFmt formatCode="&quot;$&quot;#,##0_);[Red]\(&quot;$&quot;#,##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tr-TR"/>
          </a:p>
        </c:txPr>
        <c:crossAx val="415717368"/>
        <c:crosses val="autoZero"/>
        <c:crossBetween val="between"/>
      </c:valAx>
      <c:spPr>
        <a:solidFill>
          <a:srgbClr val="FFFFFF"/>
        </a:solidFill>
        <a:ln w="25400">
          <a:noFill/>
        </a:ln>
      </c:spPr>
    </c:plotArea>
    <c:legend>
      <c:legendPos val="r"/>
      <c:layout>
        <c:manualLayout>
          <c:xMode val="edge"/>
          <c:yMode val="edge"/>
          <c:x val="0.80787134247107995"/>
          <c:y val="0.1577384076990376"/>
          <c:w val="0.17939839117332557"/>
          <c:h val="0.6220256842894639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tr-TR"/>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tr-TR"/>
    </a:p>
  </c:txPr>
  <c:printSettings>
    <c:headerFooter alignWithMargins="0">
      <c:oddFooter>&amp;C</c:oddFooter>
    </c:headerFooter>
    <c:pageMargins b="0.750000000000001" l="0.70000000000000062" r="0.70000000000000062" t="0.750000000000001"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4371975</xdr:colOff>
      <xdr:row>0</xdr:row>
      <xdr:rowOff>28575</xdr:rowOff>
    </xdr:from>
    <xdr:to>
      <xdr:col>0</xdr:col>
      <xdr:colOff>6534150</xdr:colOff>
      <xdr:row>1</xdr:row>
      <xdr:rowOff>85725</xdr:rowOff>
    </xdr:to>
    <xdr:pic>
      <xdr:nvPicPr>
        <xdr:cNvPr id="980993" name="Picture 3" descr="Logo_R_Wide302x30_081224.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71975" y="28575"/>
          <a:ext cx="21621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1704975</xdr:colOff>
      <xdr:row>46</xdr:row>
      <xdr:rowOff>123825</xdr:rowOff>
    </xdr:from>
    <xdr:to>
      <xdr:col>0</xdr:col>
      <xdr:colOff>4914900</xdr:colOff>
      <xdr:row>46</xdr:row>
      <xdr:rowOff>1590675</xdr:rowOff>
    </xdr:to>
    <xdr:pic>
      <xdr:nvPicPr>
        <xdr:cNvPr id="980994" name="Picture 2" descr="workflow"/>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4975" y="4695825"/>
          <a:ext cx="3209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22</xdr:row>
      <xdr:rowOff>28575</xdr:rowOff>
    </xdr:from>
    <xdr:to>
      <xdr:col>13</xdr:col>
      <xdr:colOff>342900</xdr:colOff>
      <xdr:row>41</xdr:row>
      <xdr:rowOff>152400</xdr:rowOff>
    </xdr:to>
    <xdr:graphicFrame macro="">
      <xdr:nvGraphicFramePr>
        <xdr:cNvPr id="1800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47625</xdr:colOff>
      <xdr:row>22</xdr:row>
      <xdr:rowOff>9525</xdr:rowOff>
    </xdr:from>
    <xdr:to>
      <xdr:col>27</xdr:col>
      <xdr:colOff>352425</xdr:colOff>
      <xdr:row>41</xdr:row>
      <xdr:rowOff>133350</xdr:rowOff>
    </xdr:to>
    <xdr:graphicFrame macro="">
      <xdr:nvGraphicFramePr>
        <xdr:cNvPr id="1800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xdr:row>
      <xdr:rowOff>0</xdr:rowOff>
    </xdr:from>
    <xdr:to>
      <xdr:col>13</xdr:col>
      <xdr:colOff>304800</xdr:colOff>
      <xdr:row>20</xdr:row>
      <xdr:rowOff>123825</xdr:rowOff>
    </xdr:to>
    <xdr:graphicFrame macro="">
      <xdr:nvGraphicFramePr>
        <xdr:cNvPr id="1800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28575</xdr:colOff>
      <xdr:row>1</xdr:row>
      <xdr:rowOff>9525</xdr:rowOff>
    </xdr:from>
    <xdr:to>
      <xdr:col>27</xdr:col>
      <xdr:colOff>333375</xdr:colOff>
      <xdr:row>20</xdr:row>
      <xdr:rowOff>133350</xdr:rowOff>
    </xdr:to>
    <xdr:graphicFrame macro="">
      <xdr:nvGraphicFramePr>
        <xdr:cNvPr id="1800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templates.modelsheetsoft.com/browser/browse.aspx?s=finplan01.xls" TargetMode="External"/><Relationship Id="rId7" Type="http://schemas.openxmlformats.org/officeDocument/2006/relationships/hyperlink" Target="mailto:info@modelsheetsoft.com." TargetMode="External"/><Relationship Id="rId2" Type="http://schemas.openxmlformats.org/officeDocument/2006/relationships/hyperlink" Target="mailto:info@modelsheetsoft.com" TargetMode="External"/><Relationship Id="rId1" Type="http://schemas.openxmlformats.org/officeDocument/2006/relationships/hyperlink" Target="http://www.modelsheetsoft.com/refer.aspx?s=finplan01.xls" TargetMode="External"/><Relationship Id="rId6" Type="http://schemas.openxmlformats.org/officeDocument/2006/relationships/hyperlink" Target="http://www.modelsheetsoft.com/consulting-business-analysis.aspx" TargetMode="External"/><Relationship Id="rId5" Type="http://schemas.openxmlformats.org/officeDocument/2006/relationships/hyperlink" Target="http://templates.modelsheetsoft.com/modelsheettemplates/financial-plan-templates.aspx?s=finplan01.xls" TargetMode="External"/><Relationship Id="rId4" Type="http://schemas.openxmlformats.org/officeDocument/2006/relationships/hyperlink" Target="http://www.modelsheetsoft.com/consulting-business-analysis.aspx?s=finplan01.xl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A120"/>
  <sheetViews>
    <sheetView tabSelected="1" workbookViewId="0">
      <selection activeCell="B1" sqref="B1"/>
    </sheetView>
  </sheetViews>
  <sheetFormatPr defaultRowHeight="12.75" outlineLevelRow="2" x14ac:dyDescent="0.2"/>
  <cols>
    <col min="1" max="1" width="98.7109375" style="293" customWidth="1"/>
    <col min="2" max="16384" width="9.140625" style="287"/>
  </cols>
  <sheetData>
    <row r="2" spans="1:1" ht="15.75" x14ac:dyDescent="0.2">
      <c r="A2" s="286"/>
    </row>
    <row r="3" spans="1:1" ht="18" x14ac:dyDescent="0.2">
      <c r="A3" s="288" t="s">
        <v>1831</v>
      </c>
    </row>
    <row r="5" spans="1:1" ht="15" x14ac:dyDescent="0.2">
      <c r="A5" s="289" t="s">
        <v>1832</v>
      </c>
    </row>
    <row r="6" spans="1:1" s="291" customFormat="1" x14ac:dyDescent="0.2">
      <c r="A6" s="290" t="s">
        <v>1833</v>
      </c>
    </row>
    <row r="7" spans="1:1" x14ac:dyDescent="0.2">
      <c r="A7" s="292"/>
    </row>
    <row r="8" spans="1:1" ht="51" x14ac:dyDescent="0.2">
      <c r="A8" s="293" t="s">
        <v>1834</v>
      </c>
    </row>
    <row r="9" spans="1:1" x14ac:dyDescent="0.2">
      <c r="A9" s="294" t="s">
        <v>1835</v>
      </c>
    </row>
    <row r="10" spans="1:1" x14ac:dyDescent="0.2">
      <c r="A10" s="292"/>
    </row>
    <row r="11" spans="1:1" ht="15" x14ac:dyDescent="0.2">
      <c r="A11" s="295" t="s">
        <v>1836</v>
      </c>
    </row>
    <row r="12" spans="1:1" x14ac:dyDescent="0.2">
      <c r="A12" s="292"/>
    </row>
    <row r="13" spans="1:1" x14ac:dyDescent="0.2">
      <c r="A13" s="296" t="s">
        <v>1837</v>
      </c>
    </row>
    <row r="14" spans="1:1" x14ac:dyDescent="0.2">
      <c r="A14" s="297" t="s">
        <v>1838</v>
      </c>
    </row>
    <row r="15" spans="1:1" outlineLevel="1" x14ac:dyDescent="0.2">
      <c r="A15" s="297" t="s">
        <v>1839</v>
      </c>
    </row>
    <row r="16" spans="1:1" outlineLevel="2" x14ac:dyDescent="0.2">
      <c r="A16" s="298" t="s">
        <v>1840</v>
      </c>
    </row>
    <row r="17" spans="1:1" outlineLevel="2" x14ac:dyDescent="0.2">
      <c r="A17" s="298" t="s">
        <v>1841</v>
      </c>
    </row>
    <row r="18" spans="1:1" outlineLevel="2" x14ac:dyDescent="0.2">
      <c r="A18" s="298" t="s">
        <v>1842</v>
      </c>
    </row>
    <row r="19" spans="1:1" outlineLevel="2" x14ac:dyDescent="0.2">
      <c r="A19" s="298" t="s">
        <v>1843</v>
      </c>
    </row>
    <row r="20" spans="1:1" ht="25.5" outlineLevel="2" x14ac:dyDescent="0.2">
      <c r="A20" s="298" t="s">
        <v>1844</v>
      </c>
    </row>
    <row r="21" spans="1:1" outlineLevel="2" x14ac:dyDescent="0.2">
      <c r="A21" s="297"/>
    </row>
    <row r="22" spans="1:1" outlineLevel="1" x14ac:dyDescent="0.2">
      <c r="A22" s="297" t="s">
        <v>1845</v>
      </c>
    </row>
    <row r="23" spans="1:1" outlineLevel="2" x14ac:dyDescent="0.2">
      <c r="A23" s="298" t="s">
        <v>1846</v>
      </c>
    </row>
    <row r="24" spans="1:1" outlineLevel="2" x14ac:dyDescent="0.2">
      <c r="A24" s="298" t="s">
        <v>1847</v>
      </c>
    </row>
    <row r="25" spans="1:1" outlineLevel="2" x14ac:dyDescent="0.2">
      <c r="A25" s="298" t="s">
        <v>1848</v>
      </c>
    </row>
    <row r="26" spans="1:1" outlineLevel="2" x14ac:dyDescent="0.2">
      <c r="A26" s="292"/>
    </row>
    <row r="27" spans="1:1" outlineLevel="1" x14ac:dyDescent="0.2">
      <c r="A27" s="297" t="s">
        <v>1849</v>
      </c>
    </row>
    <row r="28" spans="1:1" outlineLevel="2" x14ac:dyDescent="0.2">
      <c r="A28" s="298" t="s">
        <v>1850</v>
      </c>
    </row>
    <row r="29" spans="1:1" ht="25.5" outlineLevel="2" x14ac:dyDescent="0.2">
      <c r="A29" s="298" t="s">
        <v>1851</v>
      </c>
    </row>
    <row r="30" spans="1:1" outlineLevel="2" x14ac:dyDescent="0.2">
      <c r="A30" s="298" t="s">
        <v>1852</v>
      </c>
    </row>
    <row r="31" spans="1:1" outlineLevel="1" x14ac:dyDescent="0.2">
      <c r="A31" s="298"/>
    </row>
    <row r="32" spans="1:1" x14ac:dyDescent="0.2">
      <c r="A32" s="299" t="s">
        <v>1853</v>
      </c>
    </row>
    <row r="33" spans="1:1" x14ac:dyDescent="0.2">
      <c r="A33" s="292"/>
    </row>
    <row r="34" spans="1:1" x14ac:dyDescent="0.2">
      <c r="A34" s="296" t="s">
        <v>1854</v>
      </c>
    </row>
    <row r="35" spans="1:1" x14ac:dyDescent="0.2">
      <c r="A35" s="297" t="s">
        <v>1838</v>
      </c>
    </row>
    <row r="36" spans="1:1" outlineLevel="1" x14ac:dyDescent="0.2">
      <c r="A36" s="297" t="s">
        <v>1855</v>
      </c>
    </row>
    <row r="37" spans="1:1" outlineLevel="1" x14ac:dyDescent="0.2">
      <c r="A37" s="297" t="s">
        <v>1856</v>
      </c>
    </row>
    <row r="38" spans="1:1" outlineLevel="1" x14ac:dyDescent="0.2">
      <c r="A38" s="297"/>
    </row>
    <row r="39" spans="1:1" x14ac:dyDescent="0.2">
      <c r="A39" s="299" t="s">
        <v>1857</v>
      </c>
    </row>
    <row r="40" spans="1:1" x14ac:dyDescent="0.2">
      <c r="A40" s="292"/>
    </row>
    <row r="41" spans="1:1" x14ac:dyDescent="0.2">
      <c r="A41" s="296" t="s">
        <v>1858</v>
      </c>
    </row>
    <row r="42" spans="1:1" x14ac:dyDescent="0.2">
      <c r="A42" s="292"/>
    </row>
    <row r="43" spans="1:1" ht="25.5" x14ac:dyDescent="0.2">
      <c r="A43" s="300" t="s">
        <v>1859</v>
      </c>
    </row>
    <row r="44" spans="1:1" x14ac:dyDescent="0.2">
      <c r="A44" s="297" t="s">
        <v>1860</v>
      </c>
    </row>
    <row r="45" spans="1:1" outlineLevel="1" x14ac:dyDescent="0.2">
      <c r="A45" s="301"/>
    </row>
    <row r="46" spans="1:1" ht="63.75" outlineLevel="1" x14ac:dyDescent="0.2">
      <c r="A46" s="302" t="s">
        <v>1861</v>
      </c>
    </row>
    <row r="47" spans="1:1" ht="140.1" customHeight="1" outlineLevel="1" x14ac:dyDescent="0.2">
      <c r="A47" s="303"/>
    </row>
    <row r="48" spans="1:1" ht="89.25" outlineLevel="1" x14ac:dyDescent="0.2">
      <c r="A48" s="304" t="s">
        <v>1862</v>
      </c>
    </row>
    <row r="49" spans="1:1" outlineLevel="1" x14ac:dyDescent="0.2">
      <c r="A49" s="304"/>
    </row>
    <row r="50" spans="1:1" ht="63.75" outlineLevel="1" x14ac:dyDescent="0.2">
      <c r="A50" s="305" t="s">
        <v>1863</v>
      </c>
    </row>
    <row r="51" spans="1:1" x14ac:dyDescent="0.2">
      <c r="A51" s="292"/>
    </row>
    <row r="52" spans="1:1" x14ac:dyDescent="0.2">
      <c r="A52" s="303" t="s">
        <v>1864</v>
      </c>
    </row>
    <row r="53" spans="1:1" x14ac:dyDescent="0.2">
      <c r="A53" s="294" t="s">
        <v>1865</v>
      </c>
    </row>
    <row r="54" spans="1:1" x14ac:dyDescent="0.2">
      <c r="A54" s="294" t="s">
        <v>1866</v>
      </c>
    </row>
    <row r="55" spans="1:1" x14ac:dyDescent="0.2">
      <c r="A55" s="306"/>
    </row>
    <row r="56" spans="1:1" x14ac:dyDescent="0.2">
      <c r="A56" s="307"/>
    </row>
    <row r="57" spans="1:1" x14ac:dyDescent="0.2">
      <c r="A57" s="308"/>
    </row>
    <row r="58" spans="1:1" ht="15" x14ac:dyDescent="0.2">
      <c r="A58" s="295" t="s">
        <v>1867</v>
      </c>
    </row>
    <row r="60" spans="1:1" ht="25.5" x14ac:dyDescent="0.2">
      <c r="A60" s="293" t="s">
        <v>1868</v>
      </c>
    </row>
    <row r="62" spans="1:1" ht="25.5" x14ac:dyDescent="0.2">
      <c r="A62" s="293" t="s">
        <v>1869</v>
      </c>
    </row>
    <row r="64" spans="1:1" x14ac:dyDescent="0.2">
      <c r="A64" s="297" t="s">
        <v>1870</v>
      </c>
    </row>
    <row r="65" spans="1:1" ht="25.5" x14ac:dyDescent="0.2">
      <c r="A65" s="298" t="s">
        <v>1871</v>
      </c>
    </row>
    <row r="66" spans="1:1" x14ac:dyDescent="0.2">
      <c r="A66" s="298" t="s">
        <v>1872</v>
      </c>
    </row>
    <row r="67" spans="1:1" x14ac:dyDescent="0.2">
      <c r="A67" s="298" t="s">
        <v>1873</v>
      </c>
    </row>
    <row r="68" spans="1:1" ht="25.5" x14ac:dyDescent="0.2">
      <c r="A68" s="298" t="s">
        <v>1874</v>
      </c>
    </row>
    <row r="69" spans="1:1" ht="38.25" x14ac:dyDescent="0.2">
      <c r="A69" s="297" t="s">
        <v>1875</v>
      </c>
    </row>
    <row r="70" spans="1:1" x14ac:dyDescent="0.2">
      <c r="A70" s="298" t="s">
        <v>1876</v>
      </c>
    </row>
    <row r="71" spans="1:1" ht="25.5" x14ac:dyDescent="0.2">
      <c r="A71" s="298" t="s">
        <v>1877</v>
      </c>
    </row>
    <row r="72" spans="1:1" x14ac:dyDescent="0.2">
      <c r="A72" s="298" t="s">
        <v>1878</v>
      </c>
    </row>
    <row r="73" spans="1:1" ht="25.5" x14ac:dyDescent="0.2">
      <c r="A73" s="297" t="s">
        <v>1879</v>
      </c>
    </row>
    <row r="74" spans="1:1" ht="25.5" x14ac:dyDescent="0.2">
      <c r="A74" s="298" t="s">
        <v>1880</v>
      </c>
    </row>
    <row r="75" spans="1:1" ht="25.5" x14ac:dyDescent="0.2">
      <c r="A75" s="297" t="s">
        <v>1881</v>
      </c>
    </row>
    <row r="76" spans="1:1" ht="25.5" x14ac:dyDescent="0.2">
      <c r="A76" s="297" t="s">
        <v>1882</v>
      </c>
    </row>
    <row r="77" spans="1:1" x14ac:dyDescent="0.2">
      <c r="A77" s="297" t="s">
        <v>1883</v>
      </c>
    </row>
    <row r="78" spans="1:1" x14ac:dyDescent="0.2">
      <c r="A78" s="297" t="s">
        <v>1884</v>
      </c>
    </row>
    <row r="79" spans="1:1" ht="25.5" x14ac:dyDescent="0.2">
      <c r="A79" s="297" t="s">
        <v>1885</v>
      </c>
    </row>
    <row r="81" spans="1:1" x14ac:dyDescent="0.2">
      <c r="A81" s="293" t="s">
        <v>1886</v>
      </c>
    </row>
    <row r="83" spans="1:1" x14ac:dyDescent="0.2">
      <c r="A83" s="309" t="s">
        <v>1887</v>
      </c>
    </row>
    <row r="84" spans="1:1" ht="25.5" x14ac:dyDescent="0.2">
      <c r="A84" s="297" t="s">
        <v>1888</v>
      </c>
    </row>
    <row r="85" spans="1:1" x14ac:dyDescent="0.2">
      <c r="A85" s="310"/>
    </row>
    <row r="86" spans="1:1" ht="25.5" x14ac:dyDescent="0.2">
      <c r="A86" s="293" t="s">
        <v>1889</v>
      </c>
    </row>
    <row r="87" spans="1:1" x14ac:dyDescent="0.2">
      <c r="A87" s="297" t="s">
        <v>1890</v>
      </c>
    </row>
    <row r="88" spans="1:1" x14ac:dyDescent="0.2">
      <c r="A88" s="297" t="s">
        <v>1891</v>
      </c>
    </row>
    <row r="89" spans="1:1" x14ac:dyDescent="0.2">
      <c r="A89" s="309" t="s">
        <v>1892</v>
      </c>
    </row>
    <row r="90" spans="1:1" x14ac:dyDescent="0.2">
      <c r="A90" s="297" t="s">
        <v>1893</v>
      </c>
    </row>
    <row r="91" spans="1:1" x14ac:dyDescent="0.2">
      <c r="A91" s="297" t="s">
        <v>1894</v>
      </c>
    </row>
    <row r="92" spans="1:1" ht="25.5" x14ac:dyDescent="0.2">
      <c r="A92" s="309" t="s">
        <v>1895</v>
      </c>
    </row>
    <row r="93" spans="1:1" x14ac:dyDescent="0.2">
      <c r="A93" s="309" t="s">
        <v>1896</v>
      </c>
    </row>
    <row r="95" spans="1:1" x14ac:dyDescent="0.2">
      <c r="A95" s="311"/>
    </row>
    <row r="96" spans="1:1" x14ac:dyDescent="0.2">
      <c r="A96" s="307"/>
    </row>
    <row r="97" spans="1:1" x14ac:dyDescent="0.2">
      <c r="A97" s="312"/>
    </row>
    <row r="98" spans="1:1" x14ac:dyDescent="0.2">
      <c r="A98" s="296" t="s">
        <v>1897</v>
      </c>
    </row>
    <row r="100" spans="1:1" x14ac:dyDescent="0.2">
      <c r="A100" s="313" t="s">
        <v>1898</v>
      </c>
    </row>
    <row r="101" spans="1:1" x14ac:dyDescent="0.2">
      <c r="A101" s="293" t="s">
        <v>1899</v>
      </c>
    </row>
    <row r="102" spans="1:1" ht="25.5" x14ac:dyDescent="0.2">
      <c r="A102" s="293" t="s">
        <v>1900</v>
      </c>
    </row>
    <row r="103" spans="1:1" ht="51" x14ac:dyDescent="0.2">
      <c r="A103" s="293" t="s">
        <v>1901</v>
      </c>
    </row>
    <row r="104" spans="1:1" x14ac:dyDescent="0.2">
      <c r="A104" s="293" t="s">
        <v>1902</v>
      </c>
    </row>
    <row r="106" spans="1:1" x14ac:dyDescent="0.2">
      <c r="A106" s="313" t="s">
        <v>1903</v>
      </c>
    </row>
    <row r="107" spans="1:1" ht="38.25" x14ac:dyDescent="0.2">
      <c r="A107" s="293" t="s">
        <v>1904</v>
      </c>
    </row>
    <row r="109" spans="1:1" s="315" customFormat="1" ht="15" x14ac:dyDescent="0.2">
      <c r="A109" s="314" t="s">
        <v>1905</v>
      </c>
    </row>
    <row r="110" spans="1:1" s="315" customFormat="1" x14ac:dyDescent="0.2">
      <c r="A110" s="316"/>
    </row>
    <row r="111" spans="1:1" s="315" customFormat="1" ht="25.5" x14ac:dyDescent="0.2">
      <c r="A111" s="316" t="s">
        <v>1906</v>
      </c>
    </row>
    <row r="112" spans="1:1" s="315" customFormat="1" x14ac:dyDescent="0.2">
      <c r="A112" s="317" t="s">
        <v>1907</v>
      </c>
    </row>
    <row r="113" spans="1:1" s="315" customFormat="1" x14ac:dyDescent="0.2">
      <c r="A113" s="316" t="s">
        <v>1908</v>
      </c>
    </row>
    <row r="114" spans="1:1" s="315" customFormat="1" x14ac:dyDescent="0.2">
      <c r="A114" s="318" t="s">
        <v>1909</v>
      </c>
    </row>
    <row r="115" spans="1:1" s="315" customFormat="1" x14ac:dyDescent="0.2">
      <c r="A115" s="316"/>
    </row>
    <row r="116" spans="1:1" s="315" customFormat="1" x14ac:dyDescent="0.2">
      <c r="A116" s="316"/>
    </row>
    <row r="117" spans="1:1" x14ac:dyDescent="0.2">
      <c r="A117" s="293" t="s">
        <v>1910</v>
      </c>
    </row>
    <row r="119" spans="1:1" x14ac:dyDescent="0.2">
      <c r="A119" s="293" t="s">
        <v>1911</v>
      </c>
    </row>
    <row r="120" spans="1:1" x14ac:dyDescent="0.2">
      <c r="A120" s="293" t="s">
        <v>1912</v>
      </c>
    </row>
  </sheetData>
  <hyperlinks>
    <hyperlink ref="A53" r:id="rId1"/>
    <hyperlink ref="A54" r:id="rId2"/>
    <hyperlink ref="A32" r:id="rId3"/>
    <hyperlink ref="A39" r:id="rId4"/>
    <hyperlink ref="A9" r:id="rId5"/>
    <hyperlink ref="A112" r:id="rId6"/>
    <hyperlink ref="A114" r:id="rId7"/>
  </hyperlinks>
  <printOptions horizontalCentered="1"/>
  <pageMargins left="0.45" right="0.45" top="0.5" bottom="0.5" header="0.3" footer="0.3"/>
  <pageSetup orientation="portrait" r:id="rId8"/>
  <headerFooter>
    <oddFooter>&amp;LModelSheet is a trademark of ModelSheet Software, LLC&amp;Rpage &amp;P of &amp;N</oddFooter>
  </headerFooter>
  <drawing r:id="rId9"/>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H118"/>
  <sheetViews>
    <sheetView zoomScaleNormal="100" workbookViewId="0"/>
  </sheetViews>
  <sheetFormatPr defaultRowHeight="12.75" customHeight="1" outlineLevelRow="1" x14ac:dyDescent="0.2"/>
  <cols>
    <col min="1" max="1" width="19.85546875" customWidth="1"/>
    <col min="2" max="2" width="8.5703125" customWidth="1"/>
    <col min="3" max="3" width="8.7109375" customWidth="1"/>
    <col min="4" max="5" width="8.5703125" customWidth="1"/>
    <col min="6" max="6" width="8.85546875" customWidth="1"/>
    <col min="7" max="7" width="8.7109375" customWidth="1"/>
    <col min="8" max="8" width="6.7109375" customWidth="1"/>
  </cols>
  <sheetData>
    <row r="1" spans="1:8" ht="12.75" customHeight="1" x14ac:dyDescent="0.2">
      <c r="A1" s="320" t="str">
        <f>Inputs!D7</f>
        <v>ABC Corp.</v>
      </c>
      <c r="B1" s="320"/>
      <c r="C1" s="320"/>
      <c r="D1" s="320"/>
    </row>
    <row r="2" spans="1:8" ht="12.75" customHeight="1" x14ac:dyDescent="0.2">
      <c r="A2" s="320" t="e">
        <f>TEXT('(FnCalls 1)'!A41,"m/d/yyyy")&amp;" to "&amp;TEXT('(FnCalls 1)'!A47-1,"m/d/yyyy")&amp;", Scenario "&amp;1</f>
        <v>#VALUE!</v>
      </c>
      <c r="B2" s="320"/>
      <c r="C2" s="320"/>
      <c r="D2" s="320"/>
    </row>
    <row r="3" spans="1:8" ht="12.75" customHeight="1" x14ac:dyDescent="0.2">
      <c r="A3" s="320" t="str">
        <f>"Operating Expense"</f>
        <v>Operating Expense</v>
      </c>
      <c r="B3" s="320"/>
      <c r="C3" s="320"/>
      <c r="D3" s="320"/>
    </row>
    <row r="4" spans="1:8" ht="12.75" customHeight="1" x14ac:dyDescent="0.2">
      <c r="A4" s="320" t="str">
        <f>""</f>
        <v/>
      </c>
      <c r="B4" s="320"/>
      <c r="C4" s="320"/>
      <c r="D4" s="320"/>
    </row>
    <row r="5" spans="1:8" ht="12.75" customHeight="1" x14ac:dyDescent="0.2">
      <c r="A5" s="322" t="str">
        <f>"Summary by Department"</f>
        <v>Summary by Department</v>
      </c>
      <c r="B5" s="322"/>
    </row>
    <row r="6" spans="1:8" ht="12.75" customHeight="1" x14ac:dyDescent="0.2">
      <c r="B6" s="10" t="str">
        <f>'(FnCalls 1)'!F41</f>
        <v>MMM 2011</v>
      </c>
      <c r="C6" s="11" t="str">
        <f>'(FnCalls 1)'!F42</f>
        <v>MMM 2011</v>
      </c>
      <c r="D6" s="11" t="str">
        <f>'(FnCalls 1)'!F43</f>
        <v>MMM 2011</v>
      </c>
      <c r="E6" s="11" t="str">
        <f>'(FnCalls 1)'!F44</f>
        <v>MMM 2011</v>
      </c>
      <c r="F6" s="11" t="str">
        <f>'(FnCalls 1)'!F45</f>
        <v>MMM 2011</v>
      </c>
      <c r="G6" s="11" t="str">
        <f>'(FnCalls 1)'!F46</f>
        <v>MMM 2011</v>
      </c>
      <c r="H6" s="94" t="str">
        <f>'(FnCalls 1)'!H41</f>
        <v>2011</v>
      </c>
    </row>
    <row r="7" spans="1:8" ht="12.75" customHeight="1" x14ac:dyDescent="0.2">
      <c r="A7" s="128" t="str">
        <f>Labels!B111</f>
        <v>Operating Expense</v>
      </c>
      <c r="B7" s="141"/>
      <c r="C7" s="141"/>
      <c r="D7" s="141"/>
      <c r="E7" s="141"/>
      <c r="F7" s="141"/>
      <c r="G7" s="141"/>
      <c r="H7" s="130"/>
    </row>
    <row r="8" spans="1:8" ht="12.75" customHeight="1" x14ac:dyDescent="0.2">
      <c r="A8" s="142" t="str">
        <f>"   "&amp;Labels!B213</f>
        <v xml:space="preserve">   Sales</v>
      </c>
      <c r="B8" s="143">
        <f t="shared" ref="B8:G8" si="0">SUM(B18:B23)</f>
        <v>0</v>
      </c>
      <c r="C8" s="143">
        <f t="shared" si="0"/>
        <v>0</v>
      </c>
      <c r="D8" s="143">
        <f t="shared" si="0"/>
        <v>0</v>
      </c>
      <c r="E8" s="143">
        <f t="shared" si="0"/>
        <v>0</v>
      </c>
      <c r="F8" s="143">
        <f t="shared" si="0"/>
        <v>0</v>
      </c>
      <c r="G8" s="143">
        <f t="shared" si="0"/>
        <v>0</v>
      </c>
      <c r="H8" s="136">
        <f>SUM(B8:G8)</f>
        <v>0</v>
      </c>
    </row>
    <row r="9" spans="1:8" ht="12.75" customHeight="1" x14ac:dyDescent="0.2">
      <c r="A9" s="142" t="str">
        <f>"   "&amp;Labels!B214</f>
        <v xml:space="preserve">   Marketing</v>
      </c>
      <c r="B9" s="143">
        <f t="shared" ref="B9:G9" si="1">SUM(B26:B31)</f>
        <v>0</v>
      </c>
      <c r="C9" s="143">
        <f t="shared" si="1"/>
        <v>0</v>
      </c>
      <c r="D9" s="143">
        <f t="shared" si="1"/>
        <v>0</v>
      </c>
      <c r="E9" s="143">
        <f t="shared" si="1"/>
        <v>0</v>
      </c>
      <c r="F9" s="143">
        <f t="shared" si="1"/>
        <v>0</v>
      </c>
      <c r="G9" s="143">
        <f t="shared" si="1"/>
        <v>0</v>
      </c>
      <c r="H9" s="136">
        <f>SUM(B9:G9)</f>
        <v>0</v>
      </c>
    </row>
    <row r="10" spans="1:8" ht="12.75" customHeight="1" x14ac:dyDescent="0.2">
      <c r="A10" s="131" t="str">
        <f>"   "&amp;Labels!C212</f>
        <v xml:space="preserve">   Total</v>
      </c>
      <c r="B10" s="127">
        <f t="shared" ref="B10:G10" si="2">SUM(B8:B9)</f>
        <v>0</v>
      </c>
      <c r="C10" s="127">
        <f t="shared" si="2"/>
        <v>0</v>
      </c>
      <c r="D10" s="127">
        <f t="shared" si="2"/>
        <v>0</v>
      </c>
      <c r="E10" s="127">
        <f t="shared" si="2"/>
        <v>0</v>
      </c>
      <c r="F10" s="127">
        <f t="shared" si="2"/>
        <v>0</v>
      </c>
      <c r="G10" s="127">
        <f t="shared" si="2"/>
        <v>0</v>
      </c>
      <c r="H10" s="146">
        <f>SUM(B10:G10)</f>
        <v>0</v>
      </c>
    </row>
    <row r="13" spans="1:8" ht="12.75" customHeight="1" x14ac:dyDescent="0.2">
      <c r="A13" s="322" t="str">
        <f>"Detail by Cost Type"</f>
        <v>Detail by Cost Type</v>
      </c>
      <c r="B13" s="322"/>
    </row>
    <row r="14" spans="1:8" ht="12.75" hidden="1" customHeight="1" outlineLevel="1" x14ac:dyDescent="0.2">
      <c r="A14" s="1" t="str">
        <f>""</f>
        <v/>
      </c>
    </row>
    <row r="15" spans="1:8" ht="12.75" hidden="1" customHeight="1" outlineLevel="1" x14ac:dyDescent="0.2">
      <c r="B15" s="10" t="str">
        <f>'(FnCalls 1)'!F41</f>
        <v>MMM 2011</v>
      </c>
      <c r="C15" s="11" t="str">
        <f>'(FnCalls 1)'!F42</f>
        <v>MMM 2011</v>
      </c>
      <c r="D15" s="11" t="str">
        <f>'(FnCalls 1)'!F43</f>
        <v>MMM 2011</v>
      </c>
      <c r="E15" s="11" t="str">
        <f>'(FnCalls 1)'!F44</f>
        <v>MMM 2011</v>
      </c>
      <c r="F15" s="11" t="str">
        <f>'(FnCalls 1)'!F45</f>
        <v>MMM 2011</v>
      </c>
      <c r="G15" s="11" t="str">
        <f>'(FnCalls 1)'!F46</f>
        <v>MMM 2011</v>
      </c>
      <c r="H15" s="94" t="str">
        <f>'(FnCalls 1)'!H41</f>
        <v>2011</v>
      </c>
    </row>
    <row r="16" spans="1:8" ht="12.75" hidden="1" customHeight="1" outlineLevel="1" x14ac:dyDescent="0.2">
      <c r="A16" s="128" t="str">
        <f>Labels!B111</f>
        <v>Operating Expense</v>
      </c>
      <c r="B16" s="141"/>
      <c r="C16" s="141"/>
      <c r="D16" s="141"/>
      <c r="E16" s="141"/>
      <c r="F16" s="141"/>
      <c r="G16" s="141"/>
      <c r="H16" s="130"/>
    </row>
    <row r="17" spans="1:8" ht="12.75" hidden="1" customHeight="1" outlineLevel="1" x14ac:dyDescent="0.2">
      <c r="A17" s="142" t="str">
        <f>"   "&amp;Labels!B213</f>
        <v xml:space="preserve">   Sales</v>
      </c>
      <c r="B17" s="143"/>
      <c r="C17" s="143"/>
      <c r="D17" s="143"/>
      <c r="E17" s="143"/>
      <c r="F17" s="143"/>
      <c r="G17" s="143"/>
      <c r="H17" s="136"/>
    </row>
    <row r="18" spans="1:8" ht="12.75" hidden="1" customHeight="1" outlineLevel="1" x14ac:dyDescent="0.2">
      <c r="A18" s="144" t="str">
        <f>"      "&amp;Labels!B247</f>
        <v xml:space="preserve">      Indirect Labor</v>
      </c>
      <c r="B18" s="135">
        <f>'Indirect Labor'!B14-IF(Labels!B213="Engineering",0,0)</f>
        <v>0</v>
      </c>
      <c r="C18" s="135">
        <f>'Indirect Labor'!C14-IF(Labels!B213="Engineering",0,0)</f>
        <v>0</v>
      </c>
      <c r="D18" s="135">
        <f>'Indirect Labor'!D14-IF(Labels!B213="Engineering",0,0)</f>
        <v>0</v>
      </c>
      <c r="E18" s="135">
        <f>'Indirect Labor'!E14-IF(Labels!B213="Engineering",0,0)</f>
        <v>0</v>
      </c>
      <c r="F18" s="135">
        <f>'Indirect Labor'!F14-IF(Labels!B213="Engineering",0,0)</f>
        <v>0</v>
      </c>
      <c r="G18" s="135">
        <f>'Indirect Labor'!G14-IF(Labels!B213="Engineering",0,0)</f>
        <v>0</v>
      </c>
      <c r="H18" s="136">
        <f t="shared" ref="H18:H24" si="3">SUM(B18:G18)</f>
        <v>0</v>
      </c>
    </row>
    <row r="19" spans="1:8" ht="12.75" hidden="1" customHeight="1" outlineLevel="1" x14ac:dyDescent="0.2">
      <c r="A19" s="144" t="str">
        <f>"      "&amp;Labels!B248</f>
        <v xml:space="preserve">      Employee-Related</v>
      </c>
      <c r="B19" s="135">
        <f>B77-IF(Labels!B213="Engineering",0,0)</f>
        <v>0</v>
      </c>
      <c r="C19" s="135">
        <f>C77-IF(Labels!B213="Engineering",0,0)</f>
        <v>0</v>
      </c>
      <c r="D19" s="135">
        <f>D77-IF(Labels!B213="Engineering",0,0)</f>
        <v>0</v>
      </c>
      <c r="E19" s="135">
        <f>E77-IF(Labels!B213="Engineering",0,0)</f>
        <v>0</v>
      </c>
      <c r="F19" s="135">
        <f>F77-IF(Labels!B213="Engineering",0,0)</f>
        <v>0</v>
      </c>
      <c r="G19" s="135">
        <f>G77-IF(Labels!B213="Engineering",0,0)</f>
        <v>0</v>
      </c>
      <c r="H19" s="136">
        <f t="shared" si="3"/>
        <v>0</v>
      </c>
    </row>
    <row r="20" spans="1:8" ht="12.75" hidden="1" customHeight="1" outlineLevel="1" x14ac:dyDescent="0.2">
      <c r="A20" s="144" t="str">
        <f>"      "&amp;Labels!B249</f>
        <v xml:space="preserve">      Dept Exp Accts</v>
      </c>
      <c r="B20" s="135">
        <f>0</f>
        <v>0</v>
      </c>
      <c r="C20" s="135">
        <f>0</f>
        <v>0</v>
      </c>
      <c r="D20" s="135">
        <f>0</f>
        <v>0</v>
      </c>
      <c r="E20" s="135">
        <f>0</f>
        <v>0</v>
      </c>
      <c r="F20" s="135">
        <f>0</f>
        <v>0</v>
      </c>
      <c r="G20" s="135">
        <f>0</f>
        <v>0</v>
      </c>
      <c r="H20" s="136">
        <f t="shared" si="3"/>
        <v>0</v>
      </c>
    </row>
    <row r="21" spans="1:8" ht="12.75" hidden="1" customHeight="1" outlineLevel="1" x14ac:dyDescent="0.2">
      <c r="A21" s="144" t="str">
        <f>"      "&amp;Labels!B250</f>
        <v xml:space="preserve">      Programs</v>
      </c>
      <c r="B21" s="135">
        <f>IF(Labels!B213="Marketing",0,IF(Labels!B213="Operations",0,0))</f>
        <v>0</v>
      </c>
      <c r="C21" s="135">
        <f>IF(Labels!B213="Marketing",0,IF(Labels!B213="Operations",0,0))</f>
        <v>0</v>
      </c>
      <c r="D21" s="135">
        <f>IF(Labels!B213="Marketing",0,IF(Labels!B213="Operations",0,0))</f>
        <v>0</v>
      </c>
      <c r="E21" s="135">
        <f>IF(Labels!B213="Marketing",0,IF(Labels!B213="Operations",0,0))</f>
        <v>0</v>
      </c>
      <c r="F21" s="135">
        <f>IF(Labels!B213="Marketing",0,IF(Labels!B213="Operations",0,0))</f>
        <v>0</v>
      </c>
      <c r="G21" s="135">
        <f>IF(Labels!B213="Marketing",0,IF(Labels!B213="Operations",0,0))</f>
        <v>0</v>
      </c>
      <c r="H21" s="136">
        <f t="shared" si="3"/>
        <v>0</v>
      </c>
    </row>
    <row r="22" spans="1:8" ht="12.75" hidden="1" customHeight="1" outlineLevel="1" x14ac:dyDescent="0.2">
      <c r="A22" s="144" t="str">
        <f>"      "&amp;Labels!B251</f>
        <v xml:space="preserve">      Facilities</v>
      </c>
      <c r="B22" s="135">
        <f>B55-IF(Labels!B213="Engineering",0,0)</f>
        <v>0</v>
      </c>
      <c r="C22" s="135">
        <f>C55-IF(Labels!B213="Engineering",0,0)</f>
        <v>0</v>
      </c>
      <c r="D22" s="135">
        <f>D55-IF(Labels!B213="Engineering",0,0)</f>
        <v>0</v>
      </c>
      <c r="E22" s="135">
        <f>E55-IF(Labels!B213="Engineering",0,0)</f>
        <v>0</v>
      </c>
      <c r="F22" s="135">
        <f>F55-IF(Labels!B213="Engineering",0,0)</f>
        <v>0</v>
      </c>
      <c r="G22" s="135">
        <f>G55-IF(Labels!B213="Engineering",0,0)</f>
        <v>0</v>
      </c>
      <c r="H22" s="136">
        <f t="shared" si="3"/>
        <v>0</v>
      </c>
    </row>
    <row r="23" spans="1:8" ht="12.75" hidden="1" customHeight="1" outlineLevel="1" x14ac:dyDescent="0.2">
      <c r="A23" s="144" t="str">
        <f>"      "&amp;Labels!B252</f>
        <v xml:space="preserve">      General &amp; Admin</v>
      </c>
      <c r="B23" s="135">
        <f>B92+0-IF(Labels!B213="Engineering",0,0)</f>
        <v>0</v>
      </c>
      <c r="C23" s="135">
        <f>C92+0-IF(Labels!B213="Engineering",0,0)</f>
        <v>0</v>
      </c>
      <c r="D23" s="135">
        <f>D92+0-IF(Labels!B213="Engineering",0,0)</f>
        <v>0</v>
      </c>
      <c r="E23" s="135">
        <f>E92+0-IF(Labels!B213="Engineering",0,0)</f>
        <v>0</v>
      </c>
      <c r="F23" s="135">
        <f>F92+0-IF(Labels!B213="Engineering",0,0)</f>
        <v>0</v>
      </c>
      <c r="G23" s="135">
        <f>G92+0-IF(Labels!B213="Engineering",0,0)</f>
        <v>0</v>
      </c>
      <c r="H23" s="136">
        <f t="shared" si="3"/>
        <v>0</v>
      </c>
    </row>
    <row r="24" spans="1:8" ht="12.75" hidden="1" customHeight="1" outlineLevel="1" x14ac:dyDescent="0.2">
      <c r="A24" s="142" t="str">
        <f>"      "&amp;Labels!C246</f>
        <v xml:space="preserve">      Total</v>
      </c>
      <c r="B24" s="143">
        <f t="shared" ref="B24:G24" si="4">SUM(B18:B23)</f>
        <v>0</v>
      </c>
      <c r="C24" s="143">
        <f t="shared" si="4"/>
        <v>0</v>
      </c>
      <c r="D24" s="143">
        <f t="shared" si="4"/>
        <v>0</v>
      </c>
      <c r="E24" s="143">
        <f t="shared" si="4"/>
        <v>0</v>
      </c>
      <c r="F24" s="143">
        <f t="shared" si="4"/>
        <v>0</v>
      </c>
      <c r="G24" s="143">
        <f t="shared" si="4"/>
        <v>0</v>
      </c>
      <c r="H24" s="136">
        <f t="shared" si="3"/>
        <v>0</v>
      </c>
    </row>
    <row r="25" spans="1:8" ht="12.75" hidden="1" customHeight="1" outlineLevel="1" x14ac:dyDescent="0.2">
      <c r="A25" s="142" t="str">
        <f>"   "&amp;Labels!B214</f>
        <v xml:space="preserve">   Marketing</v>
      </c>
      <c r="B25" s="143"/>
      <c r="C25" s="143"/>
      <c r="D25" s="143"/>
      <c r="E25" s="143"/>
      <c r="F25" s="143"/>
      <c r="G25" s="143"/>
      <c r="H25" s="136"/>
    </row>
    <row r="26" spans="1:8" ht="12.75" hidden="1" customHeight="1" outlineLevel="1" x14ac:dyDescent="0.2">
      <c r="A26" s="144" t="str">
        <f>"      "&amp;Labels!B247</f>
        <v xml:space="preserve">      Indirect Labor</v>
      </c>
      <c r="B26" s="135">
        <f>'Indirect Labor'!B15-IF(Labels!B214="Engineering",0,0)</f>
        <v>0</v>
      </c>
      <c r="C26" s="135">
        <f>'Indirect Labor'!C15-IF(Labels!B214="Engineering",0,0)</f>
        <v>0</v>
      </c>
      <c r="D26" s="135">
        <f>'Indirect Labor'!D15-IF(Labels!B214="Engineering",0,0)</f>
        <v>0</v>
      </c>
      <c r="E26" s="135">
        <f>'Indirect Labor'!E15-IF(Labels!B214="Engineering",0,0)</f>
        <v>0</v>
      </c>
      <c r="F26" s="135">
        <f>'Indirect Labor'!F15-IF(Labels!B214="Engineering",0,0)</f>
        <v>0</v>
      </c>
      <c r="G26" s="135">
        <f>'Indirect Labor'!G15-IF(Labels!B214="Engineering",0,0)</f>
        <v>0</v>
      </c>
      <c r="H26" s="136">
        <f t="shared" ref="H26:H39" si="5">SUM(B26:G26)</f>
        <v>0</v>
      </c>
    </row>
    <row r="27" spans="1:8" ht="12.75" hidden="1" customHeight="1" outlineLevel="1" x14ac:dyDescent="0.2">
      <c r="A27" s="144" t="str">
        <f>"      "&amp;Labels!B248</f>
        <v xml:space="preserve">      Employee-Related</v>
      </c>
      <c r="B27" s="135">
        <f>B82-IF(Labels!B214="Engineering",0,0)</f>
        <v>0</v>
      </c>
      <c r="C27" s="135">
        <f>C82-IF(Labels!B214="Engineering",0,0)</f>
        <v>0</v>
      </c>
      <c r="D27" s="135">
        <f>D82-IF(Labels!B214="Engineering",0,0)</f>
        <v>0</v>
      </c>
      <c r="E27" s="135">
        <f>E82-IF(Labels!B214="Engineering",0,0)</f>
        <v>0</v>
      </c>
      <c r="F27" s="135">
        <f>F82-IF(Labels!B214="Engineering",0,0)</f>
        <v>0</v>
      </c>
      <c r="G27" s="135">
        <f>G82-IF(Labels!B214="Engineering",0,0)</f>
        <v>0</v>
      </c>
      <c r="H27" s="136">
        <f t="shared" si="5"/>
        <v>0</v>
      </c>
    </row>
    <row r="28" spans="1:8" ht="12.75" hidden="1" customHeight="1" outlineLevel="1" x14ac:dyDescent="0.2">
      <c r="A28" s="144" t="str">
        <f>"      "&amp;Labels!B249</f>
        <v xml:space="preserve">      Dept Exp Accts</v>
      </c>
      <c r="B28" s="135">
        <f>0</f>
        <v>0</v>
      </c>
      <c r="C28" s="135">
        <f>0</f>
        <v>0</v>
      </c>
      <c r="D28" s="135">
        <f>0</f>
        <v>0</v>
      </c>
      <c r="E28" s="135">
        <f>0</f>
        <v>0</v>
      </c>
      <c r="F28" s="135">
        <f>0</f>
        <v>0</v>
      </c>
      <c r="G28" s="135">
        <f>0</f>
        <v>0</v>
      </c>
      <c r="H28" s="136">
        <f t="shared" si="5"/>
        <v>0</v>
      </c>
    </row>
    <row r="29" spans="1:8" ht="12.75" hidden="1" customHeight="1" outlineLevel="1" x14ac:dyDescent="0.2">
      <c r="A29" s="144" t="str">
        <f>"      "&amp;Labels!B250</f>
        <v xml:space="preserve">      Programs</v>
      </c>
      <c r="B29" s="135">
        <f>IF(Labels!B214="Marketing",0,IF(Labels!B214="Operations",0,0))</f>
        <v>0</v>
      </c>
      <c r="C29" s="135">
        <f>IF(Labels!B214="Marketing",0,IF(Labels!B214="Operations",0,0))</f>
        <v>0</v>
      </c>
      <c r="D29" s="135">
        <f>IF(Labels!B214="Marketing",0,IF(Labels!B214="Operations",0,0))</f>
        <v>0</v>
      </c>
      <c r="E29" s="135">
        <f>IF(Labels!B214="Marketing",0,IF(Labels!B214="Operations",0,0))</f>
        <v>0</v>
      </c>
      <c r="F29" s="135">
        <f>IF(Labels!B214="Marketing",0,IF(Labels!B214="Operations",0,0))</f>
        <v>0</v>
      </c>
      <c r="G29" s="135">
        <f>IF(Labels!B214="Marketing",0,IF(Labels!B214="Operations",0,0))</f>
        <v>0</v>
      </c>
      <c r="H29" s="136">
        <f t="shared" si="5"/>
        <v>0</v>
      </c>
    </row>
    <row r="30" spans="1:8" ht="12.75" hidden="1" customHeight="1" outlineLevel="1" x14ac:dyDescent="0.2">
      <c r="A30" s="144" t="str">
        <f>"      "&amp;Labels!B251</f>
        <v xml:space="preserve">      Facilities</v>
      </c>
      <c r="B30" s="135">
        <f>B56-IF(Labels!B214="Engineering",0,0)</f>
        <v>0</v>
      </c>
      <c r="C30" s="135">
        <f>C56-IF(Labels!B214="Engineering",0,0)</f>
        <v>0</v>
      </c>
      <c r="D30" s="135">
        <f>D56-IF(Labels!B214="Engineering",0,0)</f>
        <v>0</v>
      </c>
      <c r="E30" s="135">
        <f>E56-IF(Labels!B214="Engineering",0,0)</f>
        <v>0</v>
      </c>
      <c r="F30" s="135">
        <f>F56-IF(Labels!B214="Engineering",0,0)</f>
        <v>0</v>
      </c>
      <c r="G30" s="135">
        <f>G56-IF(Labels!B214="Engineering",0,0)</f>
        <v>0</v>
      </c>
      <c r="H30" s="136">
        <f t="shared" si="5"/>
        <v>0</v>
      </c>
    </row>
    <row r="31" spans="1:8" ht="12.75" hidden="1" customHeight="1" outlineLevel="1" x14ac:dyDescent="0.2">
      <c r="A31" s="144" t="str">
        <f>"      "&amp;Labels!B252</f>
        <v xml:space="preserve">      General &amp; Admin</v>
      </c>
      <c r="B31" s="135">
        <f>B95+0-IF(Labels!B214="Engineering",0,0)</f>
        <v>0</v>
      </c>
      <c r="C31" s="135">
        <f>C95+0-IF(Labels!B214="Engineering",0,0)</f>
        <v>0</v>
      </c>
      <c r="D31" s="135">
        <f>D95+0-IF(Labels!B214="Engineering",0,0)</f>
        <v>0</v>
      </c>
      <c r="E31" s="135">
        <f>E95+0-IF(Labels!B214="Engineering",0,0)</f>
        <v>0</v>
      </c>
      <c r="F31" s="135">
        <f>F95+0-IF(Labels!B214="Engineering",0,0)</f>
        <v>0</v>
      </c>
      <c r="G31" s="135">
        <f>G95+0-IF(Labels!B214="Engineering",0,0)</f>
        <v>0</v>
      </c>
      <c r="H31" s="136">
        <f t="shared" si="5"/>
        <v>0</v>
      </c>
    </row>
    <row r="32" spans="1:8" ht="12.75" hidden="1" customHeight="1" outlineLevel="1" x14ac:dyDescent="0.2">
      <c r="A32" s="142" t="str">
        <f>"      "&amp;Labels!C246</f>
        <v xml:space="preserve">      Total</v>
      </c>
      <c r="B32" s="143">
        <f t="shared" ref="B32:G32" si="6">SUM(B26:B31)</f>
        <v>0</v>
      </c>
      <c r="C32" s="143">
        <f t="shared" si="6"/>
        <v>0</v>
      </c>
      <c r="D32" s="143">
        <f t="shared" si="6"/>
        <v>0</v>
      </c>
      <c r="E32" s="143">
        <f t="shared" si="6"/>
        <v>0</v>
      </c>
      <c r="F32" s="143">
        <f t="shared" si="6"/>
        <v>0</v>
      </c>
      <c r="G32" s="143">
        <f t="shared" si="6"/>
        <v>0</v>
      </c>
      <c r="H32" s="136">
        <f t="shared" si="5"/>
        <v>0</v>
      </c>
    </row>
    <row r="33" spans="1:8" ht="12.75" hidden="1" customHeight="1" outlineLevel="1" x14ac:dyDescent="0.2">
      <c r="A33" s="134" t="str">
        <f>"   "&amp;Labels!C212</f>
        <v xml:space="preserve">   Total</v>
      </c>
      <c r="B33" s="145">
        <f t="shared" ref="B33:G33" si="7">SUM(B24,B32)</f>
        <v>0</v>
      </c>
      <c r="C33" s="145">
        <f t="shared" si="7"/>
        <v>0</v>
      </c>
      <c r="D33" s="145">
        <f t="shared" si="7"/>
        <v>0</v>
      </c>
      <c r="E33" s="145">
        <f t="shared" si="7"/>
        <v>0</v>
      </c>
      <c r="F33" s="145">
        <f t="shared" si="7"/>
        <v>0</v>
      </c>
      <c r="G33" s="145">
        <f t="shared" si="7"/>
        <v>0</v>
      </c>
      <c r="H33" s="136">
        <f t="shared" si="5"/>
        <v>0</v>
      </c>
    </row>
    <row r="34" spans="1:8" ht="12.75" hidden="1" customHeight="1" outlineLevel="1" x14ac:dyDescent="0.2">
      <c r="A34" s="144" t="str">
        <f>"      "&amp;Labels!B247</f>
        <v xml:space="preserve">      Indirect Labor</v>
      </c>
      <c r="B34" s="135">
        <f t="shared" ref="B34:G40" si="8">SUM(B18,B26)</f>
        <v>0</v>
      </c>
      <c r="C34" s="135">
        <f t="shared" si="8"/>
        <v>0</v>
      </c>
      <c r="D34" s="135">
        <f t="shared" si="8"/>
        <v>0</v>
      </c>
      <c r="E34" s="135">
        <f t="shared" si="8"/>
        <v>0</v>
      </c>
      <c r="F34" s="135">
        <f t="shared" si="8"/>
        <v>0</v>
      </c>
      <c r="G34" s="135">
        <f t="shared" si="8"/>
        <v>0</v>
      </c>
      <c r="H34" s="136">
        <f t="shared" si="5"/>
        <v>0</v>
      </c>
    </row>
    <row r="35" spans="1:8" ht="12.75" hidden="1" customHeight="1" outlineLevel="1" x14ac:dyDescent="0.2">
      <c r="A35" s="144" t="str">
        <f>"      "&amp;Labels!B248</f>
        <v xml:space="preserve">      Employee-Related</v>
      </c>
      <c r="B35" s="135">
        <f t="shared" si="8"/>
        <v>0</v>
      </c>
      <c r="C35" s="135">
        <f t="shared" si="8"/>
        <v>0</v>
      </c>
      <c r="D35" s="135">
        <f t="shared" si="8"/>
        <v>0</v>
      </c>
      <c r="E35" s="135">
        <f t="shared" si="8"/>
        <v>0</v>
      </c>
      <c r="F35" s="135">
        <f t="shared" si="8"/>
        <v>0</v>
      </c>
      <c r="G35" s="135">
        <f t="shared" si="8"/>
        <v>0</v>
      </c>
      <c r="H35" s="136">
        <f t="shared" si="5"/>
        <v>0</v>
      </c>
    </row>
    <row r="36" spans="1:8" ht="12.75" hidden="1" customHeight="1" outlineLevel="1" x14ac:dyDescent="0.2">
      <c r="A36" s="144" t="str">
        <f>"      "&amp;Labels!B249</f>
        <v xml:space="preserve">      Dept Exp Accts</v>
      </c>
      <c r="B36" s="135">
        <f t="shared" si="8"/>
        <v>0</v>
      </c>
      <c r="C36" s="135">
        <f t="shared" si="8"/>
        <v>0</v>
      </c>
      <c r="D36" s="135">
        <f t="shared" si="8"/>
        <v>0</v>
      </c>
      <c r="E36" s="135">
        <f t="shared" si="8"/>
        <v>0</v>
      </c>
      <c r="F36" s="135">
        <f t="shared" si="8"/>
        <v>0</v>
      </c>
      <c r="G36" s="135">
        <f t="shared" si="8"/>
        <v>0</v>
      </c>
      <c r="H36" s="136">
        <f t="shared" si="5"/>
        <v>0</v>
      </c>
    </row>
    <row r="37" spans="1:8" ht="12.75" hidden="1" customHeight="1" outlineLevel="1" x14ac:dyDescent="0.2">
      <c r="A37" s="144" t="str">
        <f>"      "&amp;Labels!B250</f>
        <v xml:space="preserve">      Programs</v>
      </c>
      <c r="B37" s="135">
        <f t="shared" si="8"/>
        <v>0</v>
      </c>
      <c r="C37" s="135">
        <f t="shared" si="8"/>
        <v>0</v>
      </c>
      <c r="D37" s="135">
        <f t="shared" si="8"/>
        <v>0</v>
      </c>
      <c r="E37" s="135">
        <f t="shared" si="8"/>
        <v>0</v>
      </c>
      <c r="F37" s="135">
        <f t="shared" si="8"/>
        <v>0</v>
      </c>
      <c r="G37" s="135">
        <f t="shared" si="8"/>
        <v>0</v>
      </c>
      <c r="H37" s="136">
        <f t="shared" si="5"/>
        <v>0</v>
      </c>
    </row>
    <row r="38" spans="1:8" ht="12.75" hidden="1" customHeight="1" outlineLevel="1" x14ac:dyDescent="0.2">
      <c r="A38" s="144" t="str">
        <f>"      "&amp;Labels!B251</f>
        <v xml:space="preserve">      Facilities</v>
      </c>
      <c r="B38" s="135">
        <f t="shared" si="8"/>
        <v>0</v>
      </c>
      <c r="C38" s="135">
        <f t="shared" si="8"/>
        <v>0</v>
      </c>
      <c r="D38" s="135">
        <f t="shared" si="8"/>
        <v>0</v>
      </c>
      <c r="E38" s="135">
        <f t="shared" si="8"/>
        <v>0</v>
      </c>
      <c r="F38" s="135">
        <f t="shared" si="8"/>
        <v>0</v>
      </c>
      <c r="G38" s="135">
        <f t="shared" si="8"/>
        <v>0</v>
      </c>
      <c r="H38" s="136">
        <f t="shared" si="5"/>
        <v>0</v>
      </c>
    </row>
    <row r="39" spans="1:8" ht="12.75" hidden="1" customHeight="1" outlineLevel="1" x14ac:dyDescent="0.2">
      <c r="A39" s="144" t="str">
        <f>"      "&amp;Labels!B252</f>
        <v xml:space="preserve">      General &amp; Admin</v>
      </c>
      <c r="B39" s="135">
        <f t="shared" si="8"/>
        <v>0</v>
      </c>
      <c r="C39" s="135">
        <f t="shared" si="8"/>
        <v>0</v>
      </c>
      <c r="D39" s="135">
        <f t="shared" si="8"/>
        <v>0</v>
      </c>
      <c r="E39" s="135">
        <f t="shared" si="8"/>
        <v>0</v>
      </c>
      <c r="F39" s="135">
        <f t="shared" si="8"/>
        <v>0</v>
      </c>
      <c r="G39" s="135">
        <f t="shared" si="8"/>
        <v>0</v>
      </c>
      <c r="H39" s="136">
        <f t="shared" si="5"/>
        <v>0</v>
      </c>
    </row>
    <row r="40" spans="1:8" ht="12.75" hidden="1" customHeight="1" outlineLevel="1" x14ac:dyDescent="0.2">
      <c r="A40" s="163" t="str">
        <f>"      "&amp;Labels!C246</f>
        <v xml:space="preserve">      Total</v>
      </c>
      <c r="B40" s="164">
        <f t="shared" si="8"/>
        <v>0</v>
      </c>
      <c r="C40" s="164">
        <f t="shared" si="8"/>
        <v>0</v>
      </c>
      <c r="D40" s="164">
        <f t="shared" si="8"/>
        <v>0</v>
      </c>
      <c r="E40" s="164">
        <f t="shared" si="8"/>
        <v>0</v>
      </c>
      <c r="F40" s="164">
        <f t="shared" si="8"/>
        <v>0</v>
      </c>
      <c r="G40" s="164">
        <f t="shared" si="8"/>
        <v>0</v>
      </c>
      <c r="H40" s="146">
        <f>SUM(B33:G33)</f>
        <v>0</v>
      </c>
    </row>
    <row r="41" spans="1:8" ht="12.75" hidden="1" customHeight="1" outlineLevel="1" x14ac:dyDescent="0.2"/>
    <row r="42" spans="1:8" ht="12.75" hidden="1" customHeight="1" outlineLevel="1" collapsed="1" x14ac:dyDescent="0.2"/>
    <row r="43" spans="1:8" ht="12.75" customHeight="1" collapsed="1" x14ac:dyDescent="0.2"/>
    <row r="44" spans="1:8" ht="12.75" customHeight="1" x14ac:dyDescent="0.2">
      <c r="A44" s="322" t="str">
        <f>"Marketing Expense"</f>
        <v>Marketing Expense</v>
      </c>
      <c r="B44" s="322"/>
    </row>
    <row r="45" spans="1:8" ht="12.75" hidden="1" customHeight="1" outlineLevel="1" x14ac:dyDescent="0.2">
      <c r="A45" s="1" t="str">
        <f>""</f>
        <v/>
      </c>
    </row>
    <row r="46" spans="1:8" ht="12.75" hidden="1" customHeight="1" outlineLevel="1" x14ac:dyDescent="0.2">
      <c r="B46" s="10" t="str">
        <f>'(FnCalls 1)'!F41</f>
        <v>MMM 2011</v>
      </c>
      <c r="C46" s="11" t="str">
        <f>'(FnCalls 1)'!F42</f>
        <v>MMM 2011</v>
      </c>
      <c r="D46" s="11" t="str">
        <f>'(FnCalls 1)'!F43</f>
        <v>MMM 2011</v>
      </c>
      <c r="E46" s="11" t="str">
        <f>'(FnCalls 1)'!F44</f>
        <v>MMM 2011</v>
      </c>
      <c r="F46" s="11" t="str">
        <f>'(FnCalls 1)'!F45</f>
        <v>MMM 2011</v>
      </c>
      <c r="G46" s="11" t="str">
        <f>'(FnCalls 1)'!F46</f>
        <v>MMM 2011</v>
      </c>
      <c r="H46" s="94" t="str">
        <f>'(FnCalls 1)'!H41</f>
        <v>2011</v>
      </c>
    </row>
    <row r="47" spans="1:8" ht="12.75" hidden="1" customHeight="1" outlineLevel="1" x14ac:dyDescent="0.2">
      <c r="A47" s="91" t="str">
        <f>Labels!B102</f>
        <v>Mktg Expense</v>
      </c>
      <c r="B47" s="149">
        <f t="shared" ref="B47:G47" si="9">B9</f>
        <v>0</v>
      </c>
      <c r="C47" s="149">
        <f t="shared" si="9"/>
        <v>0</v>
      </c>
      <c r="D47" s="149">
        <f t="shared" si="9"/>
        <v>0</v>
      </c>
      <c r="E47" s="149">
        <f t="shared" si="9"/>
        <v>0</v>
      </c>
      <c r="F47" s="149">
        <f t="shared" si="9"/>
        <v>0</v>
      </c>
      <c r="G47" s="149">
        <f t="shared" si="9"/>
        <v>0</v>
      </c>
      <c r="H47" s="140">
        <f>SUM(B47:G47)</f>
        <v>0</v>
      </c>
    </row>
    <row r="48" spans="1:8" ht="12.75" hidden="1" customHeight="1" outlineLevel="1" x14ac:dyDescent="0.2"/>
    <row r="49" spans="1:8" ht="12.75" hidden="1" customHeight="1" outlineLevel="1" collapsed="1" x14ac:dyDescent="0.2"/>
    <row r="50" spans="1:8" ht="12.75" customHeight="1" collapsed="1" x14ac:dyDescent="0.2"/>
    <row r="51" spans="1:8" ht="12.75" customHeight="1" x14ac:dyDescent="0.2">
      <c r="A51" s="322" t="str">
        <f>"Facilities Expense"</f>
        <v>Facilities Expense</v>
      </c>
      <c r="B51" s="322"/>
    </row>
    <row r="52" spans="1:8" ht="12.75" hidden="1" customHeight="1" outlineLevel="1" x14ac:dyDescent="0.2">
      <c r="A52" s="1" t="str">
        <f>""</f>
        <v/>
      </c>
    </row>
    <row r="53" spans="1:8" ht="12.75" hidden="1" customHeight="1" outlineLevel="1" x14ac:dyDescent="0.2">
      <c r="B53" s="10" t="str">
        <f>'(FnCalls 1)'!F41</f>
        <v>MMM 2011</v>
      </c>
      <c r="C53" s="11" t="str">
        <f>'(FnCalls 1)'!F42</f>
        <v>MMM 2011</v>
      </c>
      <c r="D53" s="11" t="str">
        <f>'(FnCalls 1)'!F43</f>
        <v>MMM 2011</v>
      </c>
      <c r="E53" s="11" t="str">
        <f>'(FnCalls 1)'!F44</f>
        <v>MMM 2011</v>
      </c>
      <c r="F53" s="11" t="str">
        <f>'(FnCalls 1)'!F45</f>
        <v>MMM 2011</v>
      </c>
      <c r="G53" s="11" t="str">
        <f>'(FnCalls 1)'!F46</f>
        <v>MMM 2011</v>
      </c>
      <c r="H53" s="94" t="str">
        <f>'(FnCalls 1)'!H41</f>
        <v>2011</v>
      </c>
    </row>
    <row r="54" spans="1:8" ht="12.75" hidden="1" customHeight="1" outlineLevel="1" x14ac:dyDescent="0.2">
      <c r="A54" s="128" t="str">
        <f>Labels!B69</f>
        <v>Facilities &amp; Utilities Exp</v>
      </c>
      <c r="B54" s="188"/>
      <c r="C54" s="188"/>
      <c r="D54" s="188"/>
      <c r="E54" s="188"/>
      <c r="F54" s="188"/>
      <c r="G54" s="188"/>
      <c r="H54" s="189"/>
    </row>
    <row r="55" spans="1:8" ht="12.75" hidden="1" customHeight="1" outlineLevel="1" x14ac:dyDescent="0.2">
      <c r="A55" s="142" t="str">
        <f>"   "&amp;Labels!B213</f>
        <v xml:space="preserve">   Sales</v>
      </c>
      <c r="B55" s="190">
        <f>'(Compute)'!B80+'(Compute)'!B94+'(Compute)'!B108+Inputs!D112/12/2</f>
        <v>0</v>
      </c>
      <c r="C55" s="190">
        <f>'(Compute)'!C80+'(Compute)'!C94+'(Compute)'!C108+Inputs!E112/12/2</f>
        <v>0</v>
      </c>
      <c r="D55" s="190">
        <f>'(Compute)'!D80+'(Compute)'!D94+'(Compute)'!D108+Inputs!F112/12/2</f>
        <v>0</v>
      </c>
      <c r="E55" s="190">
        <f>'(Compute)'!E80+'(Compute)'!E94+'(Compute)'!E108+Inputs!G112/12/2</f>
        <v>0</v>
      </c>
      <c r="F55" s="190">
        <f>'(Compute)'!F80+'(Compute)'!F94+'(Compute)'!F108+Inputs!H112/12/2</f>
        <v>0</v>
      </c>
      <c r="G55" s="190">
        <f>'(Compute)'!G80+'(Compute)'!G94+'(Compute)'!G108+Inputs!I112/12/2</f>
        <v>0</v>
      </c>
      <c r="H55" s="138">
        <f>SUM(B55:G55)</f>
        <v>0</v>
      </c>
    </row>
    <row r="56" spans="1:8" ht="12.75" hidden="1" customHeight="1" outlineLevel="1" x14ac:dyDescent="0.2">
      <c r="A56" s="142" t="str">
        <f>"   "&amp;Labels!B214</f>
        <v xml:space="preserve">   Marketing</v>
      </c>
      <c r="B56" s="190">
        <f>'(Compute)'!B84+'(Compute)'!B98+'(Compute)'!B112+Inputs!D112/12/2</f>
        <v>0</v>
      </c>
      <c r="C56" s="190">
        <f>'(Compute)'!C84+'(Compute)'!C98+'(Compute)'!C112+Inputs!E112/12/2</f>
        <v>0</v>
      </c>
      <c r="D56" s="190">
        <f>'(Compute)'!D84+'(Compute)'!D98+'(Compute)'!D112+Inputs!F112/12/2</f>
        <v>0</v>
      </c>
      <c r="E56" s="190">
        <f>'(Compute)'!E84+'(Compute)'!E98+'(Compute)'!E112+Inputs!G112/12/2</f>
        <v>0</v>
      </c>
      <c r="F56" s="190">
        <f>'(Compute)'!F84+'(Compute)'!F98+'(Compute)'!F112+Inputs!H112/12/2</f>
        <v>0</v>
      </c>
      <c r="G56" s="190">
        <f>'(Compute)'!G84+'(Compute)'!G98+'(Compute)'!G112+Inputs!I112/12/2</f>
        <v>0</v>
      </c>
      <c r="H56" s="138">
        <f>SUM(B56:G56)</f>
        <v>0</v>
      </c>
    </row>
    <row r="57" spans="1:8" ht="12.75" hidden="1" customHeight="1" outlineLevel="1" x14ac:dyDescent="0.2">
      <c r="A57" s="134" t="str">
        <f>"   "&amp;Labels!C212</f>
        <v xml:space="preserve">   Total</v>
      </c>
      <c r="B57" s="191">
        <f t="shared" ref="B57:G57" si="10">SUM(B55:B56)</f>
        <v>0</v>
      </c>
      <c r="C57" s="191">
        <f t="shared" si="10"/>
        <v>0</v>
      </c>
      <c r="D57" s="191">
        <f t="shared" si="10"/>
        <v>0</v>
      </c>
      <c r="E57" s="191">
        <f t="shared" si="10"/>
        <v>0</v>
      </c>
      <c r="F57" s="191">
        <f t="shared" si="10"/>
        <v>0</v>
      </c>
      <c r="G57" s="191">
        <f t="shared" si="10"/>
        <v>0</v>
      </c>
      <c r="H57" s="138">
        <f>SUM(B57:G57)</f>
        <v>0</v>
      </c>
    </row>
    <row r="58" spans="1:8" ht="12.75" hidden="1" customHeight="1" outlineLevel="1" x14ac:dyDescent="0.2">
      <c r="A58" s="91"/>
      <c r="B58" s="6"/>
      <c r="C58" s="6"/>
      <c r="D58" s="6"/>
      <c r="E58" s="6"/>
      <c r="F58" s="6"/>
      <c r="G58" s="6"/>
      <c r="H58" s="91"/>
    </row>
    <row r="59" spans="1:8" ht="12.75" hidden="1" customHeight="1" outlineLevel="1" x14ac:dyDescent="0.2">
      <c r="A59" s="134" t="str">
        <f>Labels!B108</f>
        <v>Space (Sqft/Person)</v>
      </c>
      <c r="B59" s="192">
        <f>Inputs!D108</f>
        <v>0</v>
      </c>
      <c r="C59" s="192">
        <f>Inputs!E108</f>
        <v>0</v>
      </c>
      <c r="D59" s="192">
        <f>Inputs!F108</f>
        <v>0</v>
      </c>
      <c r="E59" s="192">
        <f>Inputs!G108</f>
        <v>0</v>
      </c>
      <c r="F59" s="192">
        <f>Inputs!H108</f>
        <v>0</v>
      </c>
      <c r="G59" s="192">
        <f>Inputs!I108</f>
        <v>0</v>
      </c>
      <c r="H59" s="193">
        <f>AVERAGE(B59:G59)</f>
        <v>0</v>
      </c>
    </row>
    <row r="60" spans="1:8" ht="12.75" hidden="1" customHeight="1" outlineLevel="1" x14ac:dyDescent="0.2">
      <c r="A60" s="91"/>
      <c r="B60" s="6"/>
      <c r="C60" s="6"/>
      <c r="D60" s="6"/>
      <c r="E60" s="6"/>
      <c r="F60" s="6"/>
      <c r="G60" s="6"/>
      <c r="H60" s="91"/>
    </row>
    <row r="61" spans="1:8" ht="12.75" hidden="1" customHeight="1" outlineLevel="1" x14ac:dyDescent="0.2">
      <c r="A61" s="134" t="str">
        <f>Labels!B107</f>
        <v>Rent ($/sqft/Yr)</v>
      </c>
      <c r="B61" s="191">
        <f>Inputs!D109</f>
        <v>0</v>
      </c>
      <c r="C61" s="191">
        <f>Inputs!E109</f>
        <v>0</v>
      </c>
      <c r="D61" s="191">
        <f>Inputs!F109</f>
        <v>0</v>
      </c>
      <c r="E61" s="191">
        <f>Inputs!G109</f>
        <v>0</v>
      </c>
      <c r="F61" s="191">
        <f>Inputs!H109</f>
        <v>0</v>
      </c>
      <c r="G61" s="191">
        <f>Inputs!I109</f>
        <v>0</v>
      </c>
      <c r="H61" s="138">
        <f>AVERAGE(B61:G61)</f>
        <v>0</v>
      </c>
    </row>
    <row r="62" spans="1:8" ht="12.75" hidden="1" customHeight="1" outlineLevel="1" x14ac:dyDescent="0.2">
      <c r="A62" s="91"/>
      <c r="B62" s="6"/>
      <c r="C62" s="6"/>
      <c r="D62" s="6"/>
      <c r="E62" s="6"/>
      <c r="F62" s="6"/>
      <c r="G62" s="6"/>
      <c r="H62" s="91"/>
    </row>
    <row r="63" spans="1:8" ht="12.75" hidden="1" customHeight="1" outlineLevel="1" x14ac:dyDescent="0.2">
      <c r="A63" s="134" t="str">
        <f>Labels!B109</f>
        <v>Utilities ($/sqft/Yr)</v>
      </c>
      <c r="B63" s="182">
        <f>Inputs!D110</f>
        <v>0</v>
      </c>
      <c r="C63" s="182">
        <f>Inputs!E110</f>
        <v>0</v>
      </c>
      <c r="D63" s="182">
        <f>Inputs!F110</f>
        <v>0</v>
      </c>
      <c r="E63" s="182">
        <f>Inputs!G110</f>
        <v>0</v>
      </c>
      <c r="F63" s="182">
        <f>Inputs!H110</f>
        <v>0</v>
      </c>
      <c r="G63" s="182">
        <f>Inputs!I110</f>
        <v>0</v>
      </c>
      <c r="H63" s="181">
        <f>AVERAGE(B63:G63)</f>
        <v>0</v>
      </c>
    </row>
    <row r="64" spans="1:8" ht="12.75" hidden="1" customHeight="1" outlineLevel="1" x14ac:dyDescent="0.2">
      <c r="A64" s="91"/>
      <c r="B64" s="6"/>
      <c r="C64" s="6"/>
      <c r="D64" s="6"/>
      <c r="E64" s="6"/>
      <c r="F64" s="6"/>
      <c r="G64" s="6"/>
      <c r="H64" s="91"/>
    </row>
    <row r="65" spans="1:8" ht="12.75" hidden="1" customHeight="1" outlineLevel="1" x14ac:dyDescent="0.2">
      <c r="A65" s="131" t="str">
        <f>Labels!B106</f>
        <v>Maint ($/sqft/Yr)</v>
      </c>
      <c r="B65" s="194">
        <f>Inputs!D111</f>
        <v>0</v>
      </c>
      <c r="C65" s="194">
        <f>Inputs!E111</f>
        <v>0</v>
      </c>
      <c r="D65" s="194">
        <f>Inputs!F111</f>
        <v>0</v>
      </c>
      <c r="E65" s="194">
        <f>Inputs!G111</f>
        <v>0</v>
      </c>
      <c r="F65" s="194">
        <f>Inputs!H111</f>
        <v>0</v>
      </c>
      <c r="G65" s="194">
        <f>Inputs!I111</f>
        <v>0</v>
      </c>
      <c r="H65" s="195">
        <f>AVERAGE(B65:G65)</f>
        <v>0</v>
      </c>
    </row>
    <row r="66" spans="1:8" ht="12.75" hidden="1" customHeight="1" outlineLevel="1" x14ac:dyDescent="0.2"/>
    <row r="67" spans="1:8" ht="12.75" hidden="1" customHeight="1" outlineLevel="1" collapsed="1" x14ac:dyDescent="0.2"/>
    <row r="68" spans="1:8" ht="12.75" customHeight="1" collapsed="1" x14ac:dyDescent="0.2"/>
    <row r="69" spans="1:8" ht="12.75" customHeight="1" x14ac:dyDescent="0.2">
      <c r="A69" s="322" t="str">
        <f>"Other Operating Expense"</f>
        <v>Other Operating Expense</v>
      </c>
      <c r="B69" s="322"/>
      <c r="C69" s="322"/>
    </row>
    <row r="70" spans="1:8" ht="12.75" hidden="1" customHeight="1" outlineLevel="1" x14ac:dyDescent="0.2">
      <c r="A70" s="1" t="str">
        <f>""</f>
        <v/>
      </c>
    </row>
    <row r="71" spans="1:8" ht="12.75" hidden="1" customHeight="1" outlineLevel="1" x14ac:dyDescent="0.2">
      <c r="B71" s="10" t="str">
        <f>'(FnCalls 1)'!F41</f>
        <v>MMM 2011</v>
      </c>
      <c r="C71" s="11" t="str">
        <f>'(FnCalls 1)'!F42</f>
        <v>MMM 2011</v>
      </c>
      <c r="D71" s="11" t="str">
        <f>'(FnCalls 1)'!F43</f>
        <v>MMM 2011</v>
      </c>
      <c r="E71" s="11" t="str">
        <f>'(FnCalls 1)'!F44</f>
        <v>MMM 2011</v>
      </c>
      <c r="F71" s="11" t="str">
        <f>'(FnCalls 1)'!F45</f>
        <v>MMM 2011</v>
      </c>
      <c r="G71" s="11" t="str">
        <f>'(FnCalls 1)'!F46</f>
        <v>MMM 2011</v>
      </c>
      <c r="H71" s="94" t="str">
        <f>'(FnCalls 1)'!H41</f>
        <v>2011</v>
      </c>
    </row>
    <row r="72" spans="1:8" ht="12.75" hidden="1" customHeight="1" outlineLevel="1" x14ac:dyDescent="0.2">
      <c r="A72" s="128" t="str">
        <f>Labels!B66</f>
        <v>Employee Rel Exp</v>
      </c>
      <c r="B72" s="188"/>
      <c r="C72" s="188"/>
      <c r="D72" s="188"/>
      <c r="E72" s="188"/>
      <c r="F72" s="188"/>
      <c r="G72" s="188"/>
      <c r="H72" s="189"/>
    </row>
    <row r="73" spans="1:8" ht="12.75" hidden="1" customHeight="1" outlineLevel="1" x14ac:dyDescent="0.2">
      <c r="A73" s="142" t="str">
        <f>"   "&amp;Labels!B213</f>
        <v xml:space="preserve">   Sales</v>
      </c>
      <c r="B73" s="190"/>
      <c r="C73" s="190"/>
      <c r="D73" s="190"/>
      <c r="E73" s="190"/>
      <c r="F73" s="190"/>
      <c r="G73" s="190"/>
      <c r="H73" s="138"/>
    </row>
    <row r="74" spans="1:8" ht="12.75" hidden="1" customHeight="1" outlineLevel="1" x14ac:dyDescent="0.2">
      <c r="A74" s="144" t="str">
        <f>"      "&amp;Labels!B222</f>
        <v xml:space="preserve">      Supplies</v>
      </c>
      <c r="B74" s="137">
        <f>'(Compute)'!B28</f>
        <v>0</v>
      </c>
      <c r="C74" s="137">
        <f>'(Compute)'!C28</f>
        <v>0</v>
      </c>
      <c r="D74" s="137">
        <f>'(Compute)'!D28</f>
        <v>0</v>
      </c>
      <c r="E74" s="137">
        <f>'(Compute)'!E28</f>
        <v>0</v>
      </c>
      <c r="F74" s="137">
        <f>'(Compute)'!F28</f>
        <v>0</v>
      </c>
      <c r="G74" s="137">
        <f>'(Compute)'!G28</f>
        <v>0</v>
      </c>
      <c r="H74" s="138">
        <f>SUM(B74:G74)</f>
        <v>0</v>
      </c>
    </row>
    <row r="75" spans="1:8" ht="12.75" hidden="1" customHeight="1" outlineLevel="1" x14ac:dyDescent="0.2">
      <c r="A75" s="144" t="str">
        <f>"      "&amp;Labels!B223</f>
        <v xml:space="preserve">      Travel Entertainment</v>
      </c>
      <c r="B75" s="137">
        <f>'(Compute)'!B32</f>
        <v>0</v>
      </c>
      <c r="C75" s="137">
        <f>'(Compute)'!C32</f>
        <v>0</v>
      </c>
      <c r="D75" s="137">
        <f>'(Compute)'!D32</f>
        <v>0</v>
      </c>
      <c r="E75" s="137">
        <f>'(Compute)'!E32</f>
        <v>0</v>
      </c>
      <c r="F75" s="137">
        <f>'(Compute)'!F32</f>
        <v>0</v>
      </c>
      <c r="G75" s="137">
        <f>'(Compute)'!G32</f>
        <v>0</v>
      </c>
      <c r="H75" s="138">
        <f>SUM(B75:G75)</f>
        <v>0</v>
      </c>
    </row>
    <row r="76" spans="1:8" ht="12.75" hidden="1" customHeight="1" outlineLevel="1" x14ac:dyDescent="0.2">
      <c r="A76" s="144" t="str">
        <f>"      "&amp;Labels!B224</f>
        <v xml:space="preserve">      Other</v>
      </c>
      <c r="B76" s="137">
        <f>'(Compute)'!B36</f>
        <v>0</v>
      </c>
      <c r="C76" s="137">
        <f>'(Compute)'!C36</f>
        <v>0</v>
      </c>
      <c r="D76" s="137">
        <f>'(Compute)'!D36</f>
        <v>0</v>
      </c>
      <c r="E76" s="137">
        <f>'(Compute)'!E36</f>
        <v>0</v>
      </c>
      <c r="F76" s="137">
        <f>'(Compute)'!F36</f>
        <v>0</v>
      </c>
      <c r="G76" s="137">
        <f>'(Compute)'!G36</f>
        <v>0</v>
      </c>
      <c r="H76" s="138">
        <f>SUM(B76:G76)</f>
        <v>0</v>
      </c>
    </row>
    <row r="77" spans="1:8" ht="12.75" hidden="1" customHeight="1" outlineLevel="1" x14ac:dyDescent="0.2">
      <c r="A77" s="142" t="str">
        <f>"      "&amp;Labels!C221</f>
        <v xml:space="preserve">      Total</v>
      </c>
      <c r="B77" s="190">
        <f t="shared" ref="B77:G77" si="11">SUM(B74:B76)</f>
        <v>0</v>
      </c>
      <c r="C77" s="190">
        <f t="shared" si="11"/>
        <v>0</v>
      </c>
      <c r="D77" s="190">
        <f t="shared" si="11"/>
        <v>0</v>
      </c>
      <c r="E77" s="190">
        <f t="shared" si="11"/>
        <v>0</v>
      </c>
      <c r="F77" s="190">
        <f t="shared" si="11"/>
        <v>0</v>
      </c>
      <c r="G77" s="190">
        <f t="shared" si="11"/>
        <v>0</v>
      </c>
      <c r="H77" s="138">
        <f>SUM(B77:G77)</f>
        <v>0</v>
      </c>
    </row>
    <row r="78" spans="1:8" ht="12.75" hidden="1" customHeight="1" outlineLevel="1" x14ac:dyDescent="0.2">
      <c r="A78" s="142" t="str">
        <f>"   "&amp;Labels!B214</f>
        <v xml:space="preserve">   Marketing</v>
      </c>
      <c r="B78" s="190"/>
      <c r="C78" s="190"/>
      <c r="D78" s="190"/>
      <c r="E78" s="190"/>
      <c r="F78" s="190"/>
      <c r="G78" s="190"/>
      <c r="H78" s="138"/>
    </row>
    <row r="79" spans="1:8" ht="12.75" hidden="1" customHeight="1" outlineLevel="1" x14ac:dyDescent="0.2">
      <c r="A79" s="144" t="str">
        <f>"      "&amp;Labels!B222</f>
        <v xml:space="preserve">      Supplies</v>
      </c>
      <c r="B79" s="137">
        <f>'(Compute)'!B45</f>
        <v>0</v>
      </c>
      <c r="C79" s="137">
        <f>'(Compute)'!C45</f>
        <v>0</v>
      </c>
      <c r="D79" s="137">
        <f>'(Compute)'!D45</f>
        <v>0</v>
      </c>
      <c r="E79" s="137">
        <f>'(Compute)'!E45</f>
        <v>0</v>
      </c>
      <c r="F79" s="137">
        <f>'(Compute)'!F45</f>
        <v>0</v>
      </c>
      <c r="G79" s="137">
        <f>'(Compute)'!G45</f>
        <v>0</v>
      </c>
      <c r="H79" s="138">
        <f t="shared" ref="H79:H86" si="12">SUM(B79:G79)</f>
        <v>0</v>
      </c>
    </row>
    <row r="80" spans="1:8" ht="12.75" hidden="1" customHeight="1" outlineLevel="1" x14ac:dyDescent="0.2">
      <c r="A80" s="144" t="str">
        <f>"      "&amp;Labels!B223</f>
        <v xml:space="preserve">      Travel Entertainment</v>
      </c>
      <c r="B80" s="137">
        <f>'(Compute)'!B49</f>
        <v>0</v>
      </c>
      <c r="C80" s="137">
        <f>'(Compute)'!C49</f>
        <v>0</v>
      </c>
      <c r="D80" s="137">
        <f>'(Compute)'!D49</f>
        <v>0</v>
      </c>
      <c r="E80" s="137">
        <f>'(Compute)'!E49</f>
        <v>0</v>
      </c>
      <c r="F80" s="137">
        <f>'(Compute)'!F49</f>
        <v>0</v>
      </c>
      <c r="G80" s="137">
        <f>'(Compute)'!G49</f>
        <v>0</v>
      </c>
      <c r="H80" s="138">
        <f t="shared" si="12"/>
        <v>0</v>
      </c>
    </row>
    <row r="81" spans="1:8" ht="12.75" hidden="1" customHeight="1" outlineLevel="1" x14ac:dyDescent="0.2">
      <c r="A81" s="144" t="str">
        <f>"      "&amp;Labels!B224</f>
        <v xml:space="preserve">      Other</v>
      </c>
      <c r="B81" s="137">
        <f>'(Compute)'!B53</f>
        <v>0</v>
      </c>
      <c r="C81" s="137">
        <f>'(Compute)'!C53</f>
        <v>0</v>
      </c>
      <c r="D81" s="137">
        <f>'(Compute)'!D53</f>
        <v>0</v>
      </c>
      <c r="E81" s="137">
        <f>'(Compute)'!E53</f>
        <v>0</v>
      </c>
      <c r="F81" s="137">
        <f>'(Compute)'!F53</f>
        <v>0</v>
      </c>
      <c r="G81" s="137">
        <f>'(Compute)'!G53</f>
        <v>0</v>
      </c>
      <c r="H81" s="138">
        <f t="shared" si="12"/>
        <v>0</v>
      </c>
    </row>
    <row r="82" spans="1:8" ht="12.75" hidden="1" customHeight="1" outlineLevel="1" x14ac:dyDescent="0.2">
      <c r="A82" s="142" t="str">
        <f>"      "&amp;Labels!C221</f>
        <v xml:space="preserve">      Total</v>
      </c>
      <c r="B82" s="190">
        <f t="shared" ref="B82:G82" si="13">SUM(B79:B81)</f>
        <v>0</v>
      </c>
      <c r="C82" s="190">
        <f t="shared" si="13"/>
        <v>0</v>
      </c>
      <c r="D82" s="190">
        <f t="shared" si="13"/>
        <v>0</v>
      </c>
      <c r="E82" s="190">
        <f t="shared" si="13"/>
        <v>0</v>
      </c>
      <c r="F82" s="190">
        <f t="shared" si="13"/>
        <v>0</v>
      </c>
      <c r="G82" s="190">
        <f t="shared" si="13"/>
        <v>0</v>
      </c>
      <c r="H82" s="138">
        <f t="shared" si="12"/>
        <v>0</v>
      </c>
    </row>
    <row r="83" spans="1:8" ht="12.75" hidden="1" customHeight="1" outlineLevel="1" x14ac:dyDescent="0.2">
      <c r="A83" s="134" t="str">
        <f>"   "&amp;Labels!C212</f>
        <v xml:space="preserve">   Total</v>
      </c>
      <c r="B83" s="191">
        <f t="shared" ref="B83:G83" si="14">SUM(B77,B82)</f>
        <v>0</v>
      </c>
      <c r="C83" s="191">
        <f t="shared" si="14"/>
        <v>0</v>
      </c>
      <c r="D83" s="191">
        <f t="shared" si="14"/>
        <v>0</v>
      </c>
      <c r="E83" s="191">
        <f t="shared" si="14"/>
        <v>0</v>
      </c>
      <c r="F83" s="191">
        <f t="shared" si="14"/>
        <v>0</v>
      </c>
      <c r="G83" s="191">
        <f t="shared" si="14"/>
        <v>0</v>
      </c>
      <c r="H83" s="138">
        <f t="shared" si="12"/>
        <v>0</v>
      </c>
    </row>
    <row r="84" spans="1:8" ht="12.75" hidden="1" customHeight="1" outlineLevel="1" x14ac:dyDescent="0.2">
      <c r="A84" s="144" t="str">
        <f>"      "&amp;Labels!B222</f>
        <v xml:space="preserve">      Supplies</v>
      </c>
      <c r="B84" s="137">
        <f t="shared" ref="B84:G87" si="15">SUM(B74,B79)</f>
        <v>0</v>
      </c>
      <c r="C84" s="137">
        <f t="shared" si="15"/>
        <v>0</v>
      </c>
      <c r="D84" s="137">
        <f t="shared" si="15"/>
        <v>0</v>
      </c>
      <c r="E84" s="137">
        <f t="shared" si="15"/>
        <v>0</v>
      </c>
      <c r="F84" s="137">
        <f t="shared" si="15"/>
        <v>0</v>
      </c>
      <c r="G84" s="137">
        <f t="shared" si="15"/>
        <v>0</v>
      </c>
      <c r="H84" s="138">
        <f t="shared" si="12"/>
        <v>0</v>
      </c>
    </row>
    <row r="85" spans="1:8" ht="12.75" hidden="1" customHeight="1" outlineLevel="1" x14ac:dyDescent="0.2">
      <c r="A85" s="144" t="str">
        <f>"      "&amp;Labels!B223</f>
        <v xml:space="preserve">      Travel Entertainment</v>
      </c>
      <c r="B85" s="137">
        <f t="shared" si="15"/>
        <v>0</v>
      </c>
      <c r="C85" s="137">
        <f t="shared" si="15"/>
        <v>0</v>
      </c>
      <c r="D85" s="137">
        <f t="shared" si="15"/>
        <v>0</v>
      </c>
      <c r="E85" s="137">
        <f t="shared" si="15"/>
        <v>0</v>
      </c>
      <c r="F85" s="137">
        <f t="shared" si="15"/>
        <v>0</v>
      </c>
      <c r="G85" s="137">
        <f t="shared" si="15"/>
        <v>0</v>
      </c>
      <c r="H85" s="138">
        <f t="shared" si="12"/>
        <v>0</v>
      </c>
    </row>
    <row r="86" spans="1:8" ht="12.75" hidden="1" customHeight="1" outlineLevel="1" x14ac:dyDescent="0.2">
      <c r="A86" s="144" t="str">
        <f>"      "&amp;Labels!B224</f>
        <v xml:space="preserve">      Other</v>
      </c>
      <c r="B86" s="137">
        <f t="shared" si="15"/>
        <v>0</v>
      </c>
      <c r="C86" s="137">
        <f t="shared" si="15"/>
        <v>0</v>
      </c>
      <c r="D86" s="137">
        <f t="shared" si="15"/>
        <v>0</v>
      </c>
      <c r="E86" s="137">
        <f t="shared" si="15"/>
        <v>0</v>
      </c>
      <c r="F86" s="137">
        <f t="shared" si="15"/>
        <v>0</v>
      </c>
      <c r="G86" s="137">
        <f t="shared" si="15"/>
        <v>0</v>
      </c>
      <c r="H86" s="138">
        <f t="shared" si="12"/>
        <v>0</v>
      </c>
    </row>
    <row r="87" spans="1:8" ht="12.75" hidden="1" customHeight="1" outlineLevel="1" x14ac:dyDescent="0.2">
      <c r="A87" s="142" t="str">
        <f>"      "&amp;Labels!C221</f>
        <v xml:space="preserve">      Total</v>
      </c>
      <c r="B87" s="190">
        <f t="shared" si="15"/>
        <v>0</v>
      </c>
      <c r="C87" s="190">
        <f t="shared" si="15"/>
        <v>0</v>
      </c>
      <c r="D87" s="190">
        <f t="shared" si="15"/>
        <v>0</v>
      </c>
      <c r="E87" s="190">
        <f t="shared" si="15"/>
        <v>0</v>
      </c>
      <c r="F87" s="190">
        <f t="shared" si="15"/>
        <v>0</v>
      </c>
      <c r="G87" s="190">
        <f t="shared" si="15"/>
        <v>0</v>
      </c>
      <c r="H87" s="138">
        <f>SUM(B83:G83)</f>
        <v>0</v>
      </c>
    </row>
    <row r="88" spans="1:8" ht="12.75" hidden="1" customHeight="1" outlineLevel="1" x14ac:dyDescent="0.2">
      <c r="A88" s="91"/>
      <c r="B88" s="6"/>
      <c r="C88" s="6"/>
      <c r="D88" s="6"/>
      <c r="E88" s="6"/>
      <c r="F88" s="6"/>
      <c r="G88" s="6"/>
      <c r="H88" s="91"/>
    </row>
    <row r="89" spans="1:8" ht="12.75" hidden="1" customHeight="1" outlineLevel="1" x14ac:dyDescent="0.2">
      <c r="A89" s="134" t="str">
        <f>Labels!B72</f>
        <v>Gen &amp; Admin Exp</v>
      </c>
      <c r="B89" s="145"/>
      <c r="C89" s="145"/>
      <c r="D89" s="145"/>
      <c r="E89" s="145"/>
      <c r="F89" s="145"/>
      <c r="G89" s="145"/>
      <c r="H89" s="136"/>
    </row>
    <row r="90" spans="1:8" ht="12.75" hidden="1" customHeight="1" outlineLevel="1" x14ac:dyDescent="0.2">
      <c r="A90" s="142" t="str">
        <f>"   "&amp;Labels!B213</f>
        <v xml:space="preserve">   Sales</v>
      </c>
      <c r="B90" s="143"/>
      <c r="C90" s="143"/>
      <c r="D90" s="143"/>
      <c r="E90" s="143"/>
      <c r="F90" s="143"/>
      <c r="G90" s="143"/>
      <c r="H90" s="136"/>
    </row>
    <row r="91" spans="1:8" ht="12.75" hidden="1" customHeight="1" outlineLevel="1" x14ac:dyDescent="0.2">
      <c r="A91" s="144" t="str">
        <f>"      "&amp;Labels!B231</f>
        <v xml:space="preserve">      IT Expense</v>
      </c>
      <c r="B91" s="135">
        <f>Inputs!D117</f>
        <v>0</v>
      </c>
      <c r="C91" s="135">
        <f>Inputs!E117</f>
        <v>0</v>
      </c>
      <c r="D91" s="135">
        <f>Inputs!F117</f>
        <v>0</v>
      </c>
      <c r="E91" s="135">
        <f>Inputs!G117</f>
        <v>0</v>
      </c>
      <c r="F91" s="135">
        <f>Inputs!H117</f>
        <v>0</v>
      </c>
      <c r="G91" s="135">
        <f>Inputs!I117</f>
        <v>0</v>
      </c>
      <c r="H91" s="136">
        <f>SUM(B91:G91)</f>
        <v>0</v>
      </c>
    </row>
    <row r="92" spans="1:8" ht="12.75" hidden="1" customHeight="1" outlineLevel="1" x14ac:dyDescent="0.2">
      <c r="A92" s="142" t="str">
        <f>"      "&amp;Labels!C230</f>
        <v xml:space="preserve">      Total</v>
      </c>
      <c r="B92" s="143">
        <f t="shared" ref="B92:G92" si="16">B91</f>
        <v>0</v>
      </c>
      <c r="C92" s="143">
        <f t="shared" si="16"/>
        <v>0</v>
      </c>
      <c r="D92" s="143">
        <f t="shared" si="16"/>
        <v>0</v>
      </c>
      <c r="E92" s="143">
        <f t="shared" si="16"/>
        <v>0</v>
      </c>
      <c r="F92" s="143">
        <f t="shared" si="16"/>
        <v>0</v>
      </c>
      <c r="G92" s="143">
        <f t="shared" si="16"/>
        <v>0</v>
      </c>
      <c r="H92" s="136">
        <f>SUM(B92:G92)</f>
        <v>0</v>
      </c>
    </row>
    <row r="93" spans="1:8" ht="12.75" hidden="1" customHeight="1" outlineLevel="1" x14ac:dyDescent="0.2">
      <c r="A93" s="142" t="str">
        <f>"   "&amp;Labels!B214</f>
        <v xml:space="preserve">   Marketing</v>
      </c>
      <c r="B93" s="143"/>
      <c r="C93" s="143"/>
      <c r="D93" s="143"/>
      <c r="E93" s="143"/>
      <c r="F93" s="143"/>
      <c r="G93" s="143"/>
      <c r="H93" s="136"/>
    </row>
    <row r="94" spans="1:8" ht="12.75" hidden="1" customHeight="1" outlineLevel="1" x14ac:dyDescent="0.2">
      <c r="A94" s="144" t="str">
        <f>"      "&amp;Labels!B231</f>
        <v xml:space="preserve">      IT Expense</v>
      </c>
      <c r="B94" s="135">
        <f>Inputs!D118</f>
        <v>0</v>
      </c>
      <c r="C94" s="135">
        <f>Inputs!E118</f>
        <v>0</v>
      </c>
      <c r="D94" s="135">
        <f>Inputs!F118</f>
        <v>0</v>
      </c>
      <c r="E94" s="135">
        <f>Inputs!G118</f>
        <v>0</v>
      </c>
      <c r="F94" s="135">
        <f>Inputs!H118</f>
        <v>0</v>
      </c>
      <c r="G94" s="135">
        <f>Inputs!I118</f>
        <v>0</v>
      </c>
      <c r="H94" s="136">
        <f>SUM(B94:G94)</f>
        <v>0</v>
      </c>
    </row>
    <row r="95" spans="1:8" ht="12.75" hidden="1" customHeight="1" outlineLevel="1" x14ac:dyDescent="0.2">
      <c r="A95" s="142" t="str">
        <f>"      "&amp;Labels!C230</f>
        <v xml:space="preserve">      Total</v>
      </c>
      <c r="B95" s="143">
        <f t="shared" ref="B95:G95" si="17">B94</f>
        <v>0</v>
      </c>
      <c r="C95" s="143">
        <f t="shared" si="17"/>
        <v>0</v>
      </c>
      <c r="D95" s="143">
        <f t="shared" si="17"/>
        <v>0</v>
      </c>
      <c r="E95" s="143">
        <f t="shared" si="17"/>
        <v>0</v>
      </c>
      <c r="F95" s="143">
        <f t="shared" si="17"/>
        <v>0</v>
      </c>
      <c r="G95" s="143">
        <f t="shared" si="17"/>
        <v>0</v>
      </c>
      <c r="H95" s="136">
        <f>SUM(B95:G95)</f>
        <v>0</v>
      </c>
    </row>
    <row r="96" spans="1:8" ht="12.75" hidden="1" customHeight="1" outlineLevel="1" x14ac:dyDescent="0.2">
      <c r="A96" s="134" t="str">
        <f>"   "&amp;Labels!C212</f>
        <v xml:space="preserve">   Total</v>
      </c>
      <c r="B96" s="145">
        <f t="shared" ref="B96:G96" si="18">SUM(B92,B95)</f>
        <v>0</v>
      </c>
      <c r="C96" s="145">
        <f t="shared" si="18"/>
        <v>0</v>
      </c>
      <c r="D96" s="145">
        <f t="shared" si="18"/>
        <v>0</v>
      </c>
      <c r="E96" s="145">
        <f t="shared" si="18"/>
        <v>0</v>
      </c>
      <c r="F96" s="145">
        <f t="shared" si="18"/>
        <v>0</v>
      </c>
      <c r="G96" s="145">
        <f t="shared" si="18"/>
        <v>0</v>
      </c>
      <c r="H96" s="136">
        <f>SUM(B96:G96)</f>
        <v>0</v>
      </c>
    </row>
    <row r="97" spans="1:8" ht="12.75" hidden="1" customHeight="1" outlineLevel="1" x14ac:dyDescent="0.2">
      <c r="A97" s="144" t="str">
        <f>"      "&amp;Labels!B231</f>
        <v xml:space="preserve">      IT Expense</v>
      </c>
      <c r="B97" s="135">
        <f t="shared" ref="B97:G98" si="19">SUM(B91,B94)</f>
        <v>0</v>
      </c>
      <c r="C97" s="135">
        <f t="shared" si="19"/>
        <v>0</v>
      </c>
      <c r="D97" s="135">
        <f t="shared" si="19"/>
        <v>0</v>
      </c>
      <c r="E97" s="135">
        <f t="shared" si="19"/>
        <v>0</v>
      </c>
      <c r="F97" s="135">
        <f t="shared" si="19"/>
        <v>0</v>
      </c>
      <c r="G97" s="135">
        <f t="shared" si="19"/>
        <v>0</v>
      </c>
      <c r="H97" s="136">
        <f>SUM(B97:G97)</f>
        <v>0</v>
      </c>
    </row>
    <row r="98" spans="1:8" ht="12.75" hidden="1" customHeight="1" outlineLevel="1" x14ac:dyDescent="0.2">
      <c r="A98" s="142" t="str">
        <f>"      "&amp;Labels!C230</f>
        <v xml:space="preserve">      Total</v>
      </c>
      <c r="B98" s="143">
        <f t="shared" si="19"/>
        <v>0</v>
      </c>
      <c r="C98" s="143">
        <f t="shared" si="19"/>
        <v>0</v>
      </c>
      <c r="D98" s="143">
        <f t="shared" si="19"/>
        <v>0</v>
      </c>
      <c r="E98" s="143">
        <f t="shared" si="19"/>
        <v>0</v>
      </c>
      <c r="F98" s="143">
        <f t="shared" si="19"/>
        <v>0</v>
      </c>
      <c r="G98" s="143">
        <f t="shared" si="19"/>
        <v>0</v>
      </c>
      <c r="H98" s="136">
        <f>SUM(B96:G96)</f>
        <v>0</v>
      </c>
    </row>
    <row r="99" spans="1:8" ht="12.75" hidden="1" customHeight="1" outlineLevel="1" x14ac:dyDescent="0.2">
      <c r="A99" s="91"/>
      <c r="B99" s="6"/>
      <c r="C99" s="6"/>
      <c r="D99" s="6"/>
      <c r="E99" s="6"/>
      <c r="F99" s="6"/>
      <c r="G99" s="6"/>
      <c r="H99" s="91"/>
    </row>
    <row r="100" spans="1:8" ht="12.75" hidden="1" customHeight="1" outlineLevel="1" x14ac:dyDescent="0.2">
      <c r="A100" s="134" t="str">
        <f>Labels!B73</f>
        <v>Gen &amp; Admin Exp</v>
      </c>
      <c r="B100" s="145"/>
      <c r="C100" s="145"/>
      <c r="D100" s="145"/>
      <c r="E100" s="145"/>
      <c r="F100" s="145"/>
      <c r="G100" s="145"/>
      <c r="H100" s="136"/>
    </row>
    <row r="101" spans="1:8" ht="12.75" hidden="1" customHeight="1" outlineLevel="1" x14ac:dyDescent="0.2">
      <c r="A101" s="142" t="str">
        <f>"   "&amp;Labels!B213</f>
        <v xml:space="preserve">   Sales</v>
      </c>
      <c r="B101" s="143"/>
      <c r="C101" s="143"/>
      <c r="D101" s="143"/>
      <c r="E101" s="143"/>
      <c r="F101" s="143"/>
      <c r="G101" s="143"/>
      <c r="H101" s="136"/>
    </row>
    <row r="102" spans="1:8" ht="12.75" hidden="1" customHeight="1" outlineLevel="1" x14ac:dyDescent="0.2">
      <c r="A102" s="144" t="str">
        <f>"      "&amp;Labels!B231</f>
        <v xml:space="preserve">      IT Expense</v>
      </c>
      <c r="B102" s="135">
        <f>Inputs!D117</f>
        <v>0</v>
      </c>
      <c r="C102" s="135">
        <f>Inputs!E117</f>
        <v>0</v>
      </c>
      <c r="D102" s="135">
        <f>Inputs!F117</f>
        <v>0</v>
      </c>
      <c r="E102" s="135">
        <f>Inputs!G117</f>
        <v>0</v>
      </c>
      <c r="F102" s="135">
        <f>Inputs!H117</f>
        <v>0</v>
      </c>
      <c r="G102" s="135">
        <f>Inputs!I117</f>
        <v>0</v>
      </c>
      <c r="H102" s="136">
        <f>SUM(B102:G102)</f>
        <v>0</v>
      </c>
    </row>
    <row r="103" spans="1:8" ht="12.75" hidden="1" customHeight="1" outlineLevel="1" x14ac:dyDescent="0.2">
      <c r="A103" s="142" t="str">
        <f>"      "&amp;Labels!C230</f>
        <v xml:space="preserve">      Total</v>
      </c>
      <c r="B103" s="143">
        <f>Inputs!D117</f>
        <v>0</v>
      </c>
      <c r="C103" s="143">
        <f>Inputs!E117</f>
        <v>0</v>
      </c>
      <c r="D103" s="143">
        <f>Inputs!F117</f>
        <v>0</v>
      </c>
      <c r="E103" s="143">
        <f>Inputs!G117</f>
        <v>0</v>
      </c>
      <c r="F103" s="143">
        <f>Inputs!H117</f>
        <v>0</v>
      </c>
      <c r="G103" s="143">
        <f>Inputs!I117</f>
        <v>0</v>
      </c>
      <c r="H103" s="136">
        <f>SUM(B103:G103)</f>
        <v>0</v>
      </c>
    </row>
    <row r="104" spans="1:8" ht="12.75" hidden="1" customHeight="1" outlineLevel="1" x14ac:dyDescent="0.2">
      <c r="A104" s="142" t="str">
        <f>"   "&amp;Labels!B214</f>
        <v xml:space="preserve">   Marketing</v>
      </c>
      <c r="B104" s="143"/>
      <c r="C104" s="143"/>
      <c r="D104" s="143"/>
      <c r="E104" s="143"/>
      <c r="F104" s="143"/>
      <c r="G104" s="143"/>
      <c r="H104" s="136"/>
    </row>
    <row r="105" spans="1:8" ht="12.75" hidden="1" customHeight="1" outlineLevel="1" x14ac:dyDescent="0.2">
      <c r="A105" s="144" t="str">
        <f>"      "&amp;Labels!B231</f>
        <v xml:space="preserve">      IT Expense</v>
      </c>
      <c r="B105" s="135">
        <f>Inputs!D118</f>
        <v>0</v>
      </c>
      <c r="C105" s="135">
        <f>Inputs!E118</f>
        <v>0</v>
      </c>
      <c r="D105" s="135">
        <f>Inputs!F118</f>
        <v>0</v>
      </c>
      <c r="E105" s="135">
        <f>Inputs!G118</f>
        <v>0</v>
      </c>
      <c r="F105" s="135">
        <f>Inputs!H118</f>
        <v>0</v>
      </c>
      <c r="G105" s="135">
        <f>Inputs!I118</f>
        <v>0</v>
      </c>
      <c r="H105" s="136">
        <f>SUM(B105:G105)</f>
        <v>0</v>
      </c>
    </row>
    <row r="106" spans="1:8" ht="12.75" hidden="1" customHeight="1" outlineLevel="1" x14ac:dyDescent="0.2">
      <c r="A106" s="142" t="str">
        <f>"      "&amp;Labels!C230</f>
        <v xml:space="preserve">      Total</v>
      </c>
      <c r="B106" s="143">
        <f>Inputs!D118</f>
        <v>0</v>
      </c>
      <c r="C106" s="143">
        <f>Inputs!E118</f>
        <v>0</v>
      </c>
      <c r="D106" s="143">
        <f>Inputs!F118</f>
        <v>0</v>
      </c>
      <c r="E106" s="143">
        <f>Inputs!G118</f>
        <v>0</v>
      </c>
      <c r="F106" s="143">
        <f>Inputs!H118</f>
        <v>0</v>
      </c>
      <c r="G106" s="143">
        <f>Inputs!I118</f>
        <v>0</v>
      </c>
      <c r="H106" s="136">
        <f>SUM(B106:G106)</f>
        <v>0</v>
      </c>
    </row>
    <row r="107" spans="1:8" ht="12.75" hidden="1" customHeight="1" outlineLevel="1" x14ac:dyDescent="0.2">
      <c r="A107" s="134" t="str">
        <f>"   "&amp;Labels!C212</f>
        <v xml:space="preserve">   Total</v>
      </c>
      <c r="B107" s="145">
        <f t="shared" ref="B107:G107" si="20">SUM(B103,B106)</f>
        <v>0</v>
      </c>
      <c r="C107" s="145">
        <f t="shared" si="20"/>
        <v>0</v>
      </c>
      <c r="D107" s="145">
        <f t="shared" si="20"/>
        <v>0</v>
      </c>
      <c r="E107" s="145">
        <f t="shared" si="20"/>
        <v>0</v>
      </c>
      <c r="F107" s="145">
        <f t="shared" si="20"/>
        <v>0</v>
      </c>
      <c r="G107" s="145">
        <f t="shared" si="20"/>
        <v>0</v>
      </c>
      <c r="H107" s="136">
        <f>SUM(B107:G107)</f>
        <v>0</v>
      </c>
    </row>
    <row r="108" spans="1:8" ht="12.75" hidden="1" customHeight="1" outlineLevel="1" x14ac:dyDescent="0.2">
      <c r="A108" s="144" t="str">
        <f>"      "&amp;Labels!B231</f>
        <v xml:space="preserve">      IT Expense</v>
      </c>
      <c r="B108" s="135">
        <f t="shared" ref="B108:G109" si="21">SUM(B102,B105)</f>
        <v>0</v>
      </c>
      <c r="C108" s="135">
        <f t="shared" si="21"/>
        <v>0</v>
      </c>
      <c r="D108" s="135">
        <f t="shared" si="21"/>
        <v>0</v>
      </c>
      <c r="E108" s="135">
        <f t="shared" si="21"/>
        <v>0</v>
      </c>
      <c r="F108" s="135">
        <f t="shared" si="21"/>
        <v>0</v>
      </c>
      <c r="G108" s="135">
        <f t="shared" si="21"/>
        <v>0</v>
      </c>
      <c r="H108" s="136">
        <f>SUM(B108:G108)</f>
        <v>0</v>
      </c>
    </row>
    <row r="109" spans="1:8" ht="12.75" hidden="1" customHeight="1" outlineLevel="1" x14ac:dyDescent="0.2">
      <c r="A109" s="142" t="str">
        <f>"      "&amp;Labels!C230</f>
        <v xml:space="preserve">      Total</v>
      </c>
      <c r="B109" s="143">
        <f t="shared" si="21"/>
        <v>0</v>
      </c>
      <c r="C109" s="143">
        <f t="shared" si="21"/>
        <v>0</v>
      </c>
      <c r="D109" s="143">
        <f t="shared" si="21"/>
        <v>0</v>
      </c>
      <c r="E109" s="143">
        <f t="shared" si="21"/>
        <v>0</v>
      </c>
      <c r="F109" s="143">
        <f t="shared" si="21"/>
        <v>0</v>
      </c>
      <c r="G109" s="143">
        <f t="shared" si="21"/>
        <v>0</v>
      </c>
      <c r="H109" s="136">
        <f>SUM(B107:G107)</f>
        <v>0</v>
      </c>
    </row>
    <row r="110" spans="1:8" ht="12.75" hidden="1" customHeight="1" outlineLevel="1" x14ac:dyDescent="0.2">
      <c r="A110" s="91"/>
      <c r="B110" s="6"/>
      <c r="C110" s="6"/>
      <c r="D110" s="6"/>
      <c r="E110" s="6"/>
      <c r="F110" s="6"/>
      <c r="G110" s="6"/>
      <c r="H110" s="91"/>
    </row>
    <row r="111" spans="1:8" ht="12.75" hidden="1" customHeight="1" outlineLevel="1" x14ac:dyDescent="0.2">
      <c r="A111" s="134" t="str">
        <f>Labels!B124</f>
        <v>Purchases</v>
      </c>
      <c r="B111" s="145"/>
      <c r="C111" s="145"/>
      <c r="D111" s="145"/>
      <c r="E111" s="145"/>
      <c r="F111" s="145"/>
      <c r="G111" s="145"/>
      <c r="H111" s="136"/>
    </row>
    <row r="112" spans="1:8" ht="12.75" hidden="1" customHeight="1" outlineLevel="1" x14ac:dyDescent="0.2">
      <c r="A112" s="142" t="str">
        <f>"   "&amp;Labels!B181</f>
        <v xml:space="preserve">   Vendor Payables</v>
      </c>
      <c r="B112" s="143">
        <f>'(Tables)'!B320+'(Tables)'!B322+B83+Assets!C41+B57</f>
        <v>0</v>
      </c>
      <c r="C112" s="143">
        <f>'(Tables)'!C320+'(Tables)'!C322+C83+Assets!D41+C57</f>
        <v>0</v>
      </c>
      <c r="D112" s="143">
        <f>'(Tables)'!D320+'(Tables)'!D322+D83+Assets!E41+D57</f>
        <v>0</v>
      </c>
      <c r="E112" s="143">
        <f>'(Tables)'!E320+'(Tables)'!E322+E83+Assets!F41+E57</f>
        <v>0</v>
      </c>
      <c r="F112" s="143">
        <f>'(Tables)'!F320+'(Tables)'!F322+F83+Assets!G41+F57</f>
        <v>0</v>
      </c>
      <c r="G112" s="143">
        <f>'(Tables)'!G320+'(Tables)'!G322+G83+Assets!H41+G57</f>
        <v>0</v>
      </c>
      <c r="H112" s="136">
        <f>SUM(B112:G112)</f>
        <v>0</v>
      </c>
    </row>
    <row r="113" spans="1:8" ht="12.75" hidden="1" customHeight="1" outlineLevel="1" x14ac:dyDescent="0.2">
      <c r="A113" s="142" t="str">
        <f>"   "&amp;Labels!B182</f>
        <v xml:space="preserve">   Payroll Payables</v>
      </c>
      <c r="B113" s="143">
        <f>'(Tables)'!B321+'Indirect Labor'!B16</f>
        <v>0</v>
      </c>
      <c r="C113" s="143">
        <f>'(Tables)'!C321+'Indirect Labor'!C16</f>
        <v>0</v>
      </c>
      <c r="D113" s="143">
        <f>'(Tables)'!D321+'Indirect Labor'!D16</f>
        <v>0</v>
      </c>
      <c r="E113" s="143">
        <f>'(Tables)'!E321+'Indirect Labor'!E16</f>
        <v>0</v>
      </c>
      <c r="F113" s="143">
        <f>'(Tables)'!F321+'Indirect Labor'!F16</f>
        <v>0</v>
      </c>
      <c r="G113" s="143">
        <f>'(Tables)'!G321+'Indirect Labor'!G16</f>
        <v>0</v>
      </c>
      <c r="H113" s="136">
        <f>SUM(B113:G113)</f>
        <v>0</v>
      </c>
    </row>
    <row r="114" spans="1:8" ht="12.75" hidden="1" customHeight="1" outlineLevel="1" x14ac:dyDescent="0.2">
      <c r="A114" s="142" t="str">
        <f>"   "&amp;Labels!B183</f>
        <v xml:space="preserve">   Taxes Payable</v>
      </c>
      <c r="B114" s="143">
        <f>IncStmt!B20</f>
        <v>0</v>
      </c>
      <c r="C114" s="143">
        <f>IncStmt!C20</f>
        <v>0</v>
      </c>
      <c r="D114" s="143">
        <f>IncStmt!D20</f>
        <v>0</v>
      </c>
      <c r="E114" s="143">
        <f>IncStmt!E20</f>
        <v>0</v>
      </c>
      <c r="F114" s="143">
        <f>IncStmt!F20</f>
        <v>0</v>
      </c>
      <c r="G114" s="143">
        <f>IncStmt!G20</f>
        <v>0</v>
      </c>
      <c r="H114" s="136">
        <f>SUM(B114:G114)</f>
        <v>0</v>
      </c>
    </row>
    <row r="115" spans="1:8" ht="12.75" hidden="1" customHeight="1" outlineLevel="1" x14ac:dyDescent="0.2">
      <c r="A115" s="131" t="str">
        <f>"   "&amp;Labels!C180</f>
        <v xml:space="preserve">   Total</v>
      </c>
      <c r="B115" s="127">
        <f t="shared" ref="B115:G115" si="22">SUM(B112:B114)</f>
        <v>0</v>
      </c>
      <c r="C115" s="127">
        <f t="shared" si="22"/>
        <v>0</v>
      </c>
      <c r="D115" s="127">
        <f t="shared" si="22"/>
        <v>0</v>
      </c>
      <c r="E115" s="127">
        <f t="shared" si="22"/>
        <v>0</v>
      </c>
      <c r="F115" s="127">
        <f t="shared" si="22"/>
        <v>0</v>
      </c>
      <c r="G115" s="127">
        <f t="shared" si="22"/>
        <v>0</v>
      </c>
      <c r="H115" s="146">
        <f>SUM(B115:G115)</f>
        <v>0</v>
      </c>
    </row>
    <row r="116" spans="1:8" ht="12.75" hidden="1" customHeight="1" outlineLevel="1" x14ac:dyDescent="0.2"/>
    <row r="117" spans="1:8" ht="12.75" hidden="1" customHeight="1" outlineLevel="1" collapsed="1" x14ac:dyDescent="0.2"/>
    <row r="118" spans="1:8" ht="12.75" customHeight="1" collapsed="1" x14ac:dyDescent="0.2"/>
  </sheetData>
  <mergeCells count="9">
    <mergeCell ref="A44:B44"/>
    <mergeCell ref="A51:B51"/>
    <mergeCell ref="A69:C69"/>
    <mergeCell ref="A1:D1"/>
    <mergeCell ref="A2:D2"/>
    <mergeCell ref="A3:D3"/>
    <mergeCell ref="A4:D4"/>
    <mergeCell ref="A5:B5"/>
    <mergeCell ref="A13:B13"/>
  </mergeCells>
  <pageMargins left="0.25" right="0.25" top="0.5" bottom="0.5" header="0.5" footer="0.5"/>
  <pageSetup paperSize="9" fitToHeight="32767" orientation="landscape"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H115"/>
  <sheetViews>
    <sheetView zoomScaleNormal="100" workbookViewId="0"/>
  </sheetViews>
  <sheetFormatPr defaultRowHeight="12.75" customHeight="1" outlineLevelRow="1" x14ac:dyDescent="0.2"/>
  <cols>
    <col min="1" max="1" width="19.5703125" customWidth="1"/>
    <col min="2" max="7" width="8.85546875" customWidth="1"/>
    <col min="8" max="8" width="5.85546875" customWidth="1"/>
  </cols>
  <sheetData>
    <row r="1" spans="1:8" ht="12.75" customHeight="1" x14ac:dyDescent="0.2">
      <c r="A1" s="320" t="str">
        <f>Inputs!D7</f>
        <v>ABC Corp.</v>
      </c>
      <c r="B1" s="320"/>
      <c r="C1" s="320"/>
      <c r="D1" s="320"/>
    </row>
    <row r="2" spans="1:8" ht="12.75" customHeight="1" x14ac:dyDescent="0.2">
      <c r="A2" s="320" t="e">
        <f>TEXT('(FnCalls 1)'!A41,"m/d/yyyy")&amp;" to "&amp;TEXT('(FnCalls 1)'!A47-1,"m/d/yyyy")&amp;", Scenario "&amp;1</f>
        <v>#VALUE!</v>
      </c>
      <c r="B2" s="320"/>
      <c r="C2" s="320"/>
      <c r="D2" s="320"/>
    </row>
    <row r="3" spans="1:8" ht="12.75" customHeight="1" x14ac:dyDescent="0.2">
      <c r="A3" s="320" t="str">
        <f>"Indirect Labor"</f>
        <v>Indirect Labor</v>
      </c>
      <c r="B3" s="320"/>
      <c r="C3" s="320"/>
      <c r="D3" s="320"/>
    </row>
    <row r="4" spans="1:8" ht="12.75" customHeight="1" x14ac:dyDescent="0.2">
      <c r="A4" s="320" t="str">
        <f>""</f>
        <v/>
      </c>
      <c r="B4" s="320"/>
      <c r="C4" s="320"/>
      <c r="D4" s="320"/>
    </row>
    <row r="5" spans="1:8" ht="12.75" customHeight="1" x14ac:dyDescent="0.2">
      <c r="A5" s="322" t="str">
        <f>"Overview by Department"</f>
        <v>Overview by Department</v>
      </c>
      <c r="B5" s="322"/>
      <c r="C5" s="322"/>
    </row>
    <row r="6" spans="1:8" ht="12.75" customHeight="1" x14ac:dyDescent="0.2">
      <c r="A6" s="322" t="str">
        <f>""</f>
        <v/>
      </c>
      <c r="B6" s="322"/>
      <c r="C6" s="322"/>
    </row>
    <row r="7" spans="1:8" ht="12.75" customHeight="1" x14ac:dyDescent="0.2">
      <c r="B7" s="10" t="str">
        <f>'(FnCalls 1)'!F41</f>
        <v>MMM 2011</v>
      </c>
      <c r="C7" s="11" t="str">
        <f>'(FnCalls 1)'!F42</f>
        <v>MMM 2011</v>
      </c>
      <c r="D7" s="11" t="str">
        <f>'(FnCalls 1)'!F43</f>
        <v>MMM 2011</v>
      </c>
      <c r="E7" s="11" t="str">
        <f>'(FnCalls 1)'!F44</f>
        <v>MMM 2011</v>
      </c>
      <c r="F7" s="11" t="str">
        <f>'(FnCalls 1)'!F45</f>
        <v>MMM 2011</v>
      </c>
      <c r="G7" s="11" t="str">
        <f>'(FnCalls 1)'!F46</f>
        <v>MMM 2011</v>
      </c>
      <c r="H7" s="94" t="str">
        <f>'(FnCalls 1)'!H41</f>
        <v>2011</v>
      </c>
    </row>
    <row r="8" spans="1:8" ht="12.75" customHeight="1" x14ac:dyDescent="0.2">
      <c r="A8" s="128" t="str">
        <f>Labels!B63</f>
        <v>Employee Count</v>
      </c>
      <c r="B8" s="196"/>
      <c r="C8" s="196"/>
      <c r="D8" s="196"/>
      <c r="E8" s="196"/>
      <c r="F8" s="196"/>
      <c r="G8" s="196"/>
      <c r="H8" s="155"/>
    </row>
    <row r="9" spans="1:8" ht="12.75" customHeight="1" x14ac:dyDescent="0.2">
      <c r="A9" s="142" t="str">
        <f>"   "&amp;Labels!B213</f>
        <v xml:space="preserve">   Sales</v>
      </c>
      <c r="B9" s="197">
        <f t="shared" ref="B9:G9" si="0">SUM(B25:B26)</f>
        <v>0</v>
      </c>
      <c r="C9" s="197">
        <f t="shared" si="0"/>
        <v>0</v>
      </c>
      <c r="D9" s="197">
        <f t="shared" si="0"/>
        <v>0</v>
      </c>
      <c r="E9" s="197">
        <f t="shared" si="0"/>
        <v>0</v>
      </c>
      <c r="F9" s="197">
        <f t="shared" si="0"/>
        <v>0</v>
      </c>
      <c r="G9" s="197">
        <f t="shared" si="0"/>
        <v>0</v>
      </c>
      <c r="H9" s="159">
        <f>SUM(G25:G26)</f>
        <v>0</v>
      </c>
    </row>
    <row r="10" spans="1:8" ht="12.75" customHeight="1" x14ac:dyDescent="0.2">
      <c r="A10" s="142" t="str">
        <f>"   "&amp;Labels!B214</f>
        <v xml:space="preserve">   Marketing</v>
      </c>
      <c r="B10" s="197">
        <f t="shared" ref="B10:G10" si="1">SUM(B29:B30)</f>
        <v>0</v>
      </c>
      <c r="C10" s="197">
        <f t="shared" si="1"/>
        <v>0</v>
      </c>
      <c r="D10" s="197">
        <f t="shared" si="1"/>
        <v>0</v>
      </c>
      <c r="E10" s="197">
        <f t="shared" si="1"/>
        <v>0</v>
      </c>
      <c r="F10" s="197">
        <f t="shared" si="1"/>
        <v>0</v>
      </c>
      <c r="G10" s="197">
        <f t="shared" si="1"/>
        <v>0</v>
      </c>
      <c r="H10" s="159">
        <f>SUM(G29:G30)</f>
        <v>0</v>
      </c>
    </row>
    <row r="11" spans="1:8" ht="12.75" customHeight="1" x14ac:dyDescent="0.2">
      <c r="A11" s="134" t="str">
        <f>"   "&amp;Labels!C212</f>
        <v xml:space="preserve">   Total</v>
      </c>
      <c r="B11" s="198">
        <f t="shared" ref="B11:G11" si="2">SUM(B9:B10)</f>
        <v>0</v>
      </c>
      <c r="C11" s="198">
        <f t="shared" si="2"/>
        <v>0</v>
      </c>
      <c r="D11" s="198">
        <f t="shared" si="2"/>
        <v>0</v>
      </c>
      <c r="E11" s="198">
        <f t="shared" si="2"/>
        <v>0</v>
      </c>
      <c r="F11" s="198">
        <f t="shared" si="2"/>
        <v>0</v>
      </c>
      <c r="G11" s="198">
        <f t="shared" si="2"/>
        <v>0</v>
      </c>
      <c r="H11" s="159">
        <f>SUM(G9:G10)</f>
        <v>0</v>
      </c>
    </row>
    <row r="12" spans="1:8" ht="12.75" customHeight="1" x14ac:dyDescent="0.2">
      <c r="A12" s="91"/>
      <c r="B12" s="6"/>
      <c r="C12" s="6"/>
      <c r="D12" s="6"/>
      <c r="E12" s="6"/>
      <c r="F12" s="6"/>
      <c r="G12" s="6"/>
      <c r="H12" s="91"/>
    </row>
    <row r="13" spans="1:8" ht="12.75" customHeight="1" x14ac:dyDescent="0.2">
      <c r="A13" s="134" t="str">
        <f>Labels!B80</f>
        <v>Indirect Labor Expense</v>
      </c>
      <c r="B13" s="145"/>
      <c r="C13" s="145"/>
      <c r="D13" s="145"/>
      <c r="E13" s="145"/>
      <c r="F13" s="145"/>
      <c r="G13" s="145"/>
      <c r="H13" s="136"/>
    </row>
    <row r="14" spans="1:8" ht="12.75" customHeight="1" x14ac:dyDescent="0.2">
      <c r="A14" s="142" t="str">
        <f>"   "&amp;Labels!B213</f>
        <v xml:space="preserve">   Sales</v>
      </c>
      <c r="B14" s="143">
        <f t="shared" ref="B14:G14" si="3">SUM(B42:B43)</f>
        <v>0</v>
      </c>
      <c r="C14" s="143">
        <f t="shared" si="3"/>
        <v>0</v>
      </c>
      <c r="D14" s="143">
        <f t="shared" si="3"/>
        <v>0</v>
      </c>
      <c r="E14" s="143">
        <f t="shared" si="3"/>
        <v>0</v>
      </c>
      <c r="F14" s="143">
        <f t="shared" si="3"/>
        <v>0</v>
      </c>
      <c r="G14" s="143">
        <f t="shared" si="3"/>
        <v>0</v>
      </c>
      <c r="H14" s="136">
        <f>SUM(B14:G14)</f>
        <v>0</v>
      </c>
    </row>
    <row r="15" spans="1:8" ht="12.75" customHeight="1" x14ac:dyDescent="0.2">
      <c r="A15" s="142" t="str">
        <f>"   "&amp;Labels!B214</f>
        <v xml:space="preserve">   Marketing</v>
      </c>
      <c r="B15" s="143">
        <f t="shared" ref="B15:G15" si="4">SUM(B46:B47)</f>
        <v>0</v>
      </c>
      <c r="C15" s="143">
        <f t="shared" si="4"/>
        <v>0</v>
      </c>
      <c r="D15" s="143">
        <f t="shared" si="4"/>
        <v>0</v>
      </c>
      <c r="E15" s="143">
        <f t="shared" si="4"/>
        <v>0</v>
      </c>
      <c r="F15" s="143">
        <f t="shared" si="4"/>
        <v>0</v>
      </c>
      <c r="G15" s="143">
        <f t="shared" si="4"/>
        <v>0</v>
      </c>
      <c r="H15" s="136">
        <f>SUM(B15:G15)</f>
        <v>0</v>
      </c>
    </row>
    <row r="16" spans="1:8" ht="12.75" customHeight="1" x14ac:dyDescent="0.2">
      <c r="A16" s="131" t="str">
        <f>"   "&amp;Labels!C212</f>
        <v xml:space="preserve">   Total</v>
      </c>
      <c r="B16" s="127">
        <f t="shared" ref="B16:G16" si="5">SUM(B14:B15)</f>
        <v>0</v>
      </c>
      <c r="C16" s="127">
        <f t="shared" si="5"/>
        <v>0</v>
      </c>
      <c r="D16" s="127">
        <f t="shared" si="5"/>
        <v>0</v>
      </c>
      <c r="E16" s="127">
        <f t="shared" si="5"/>
        <v>0</v>
      </c>
      <c r="F16" s="127">
        <f t="shared" si="5"/>
        <v>0</v>
      </c>
      <c r="G16" s="127">
        <f t="shared" si="5"/>
        <v>0</v>
      </c>
      <c r="H16" s="146">
        <f>SUM(B16:G16)</f>
        <v>0</v>
      </c>
    </row>
    <row r="18" spans="1:8" ht="12.75" customHeight="1" x14ac:dyDescent="0.2">
      <c r="A18" s="2" t="str">
        <f>"Labor Detail"</f>
        <v>Labor Detail</v>
      </c>
    </row>
    <row r="19" spans="1:8" ht="12.75" customHeight="1" x14ac:dyDescent="0.2">
      <c r="A19" s="2" t="str">
        <f>""</f>
        <v/>
      </c>
    </row>
    <row r="20" spans="1:8" ht="12.75" customHeight="1" x14ac:dyDescent="0.2">
      <c r="A20" s="321" t="str">
        <f>"Employee Count"</f>
        <v>Employee Count</v>
      </c>
      <c r="B20" s="321"/>
    </row>
    <row r="21" spans="1:8" ht="12.75" hidden="1" customHeight="1" outlineLevel="1" x14ac:dyDescent="0.2">
      <c r="A21" s="321" t="str">
        <f>""</f>
        <v/>
      </c>
      <c r="B21" s="321"/>
    </row>
    <row r="22" spans="1:8" ht="12.75" hidden="1" customHeight="1" outlineLevel="1" x14ac:dyDescent="0.2">
      <c r="B22" s="10" t="str">
        <f>'(FnCalls 1)'!F41</f>
        <v>MMM 2011</v>
      </c>
      <c r="C22" s="11" t="str">
        <f>'(FnCalls 1)'!F42</f>
        <v>MMM 2011</v>
      </c>
      <c r="D22" s="11" t="str">
        <f>'(FnCalls 1)'!F43</f>
        <v>MMM 2011</v>
      </c>
      <c r="E22" s="11" t="str">
        <f>'(FnCalls 1)'!F44</f>
        <v>MMM 2011</v>
      </c>
      <c r="F22" s="11" t="str">
        <f>'(FnCalls 1)'!F45</f>
        <v>MMM 2011</v>
      </c>
      <c r="G22" s="11" t="str">
        <f>'(FnCalls 1)'!F46</f>
        <v>MMM 2011</v>
      </c>
      <c r="H22" s="94" t="str">
        <f>'(FnCalls 1)'!H41</f>
        <v>2011</v>
      </c>
    </row>
    <row r="23" spans="1:8" ht="12.75" hidden="1" customHeight="1" outlineLevel="1" x14ac:dyDescent="0.2">
      <c r="A23" s="128" t="str">
        <f>Labels!B63</f>
        <v>Employee Count</v>
      </c>
      <c r="B23" s="196"/>
      <c r="C23" s="196"/>
      <c r="D23" s="196"/>
      <c r="E23" s="196"/>
      <c r="F23" s="196"/>
      <c r="G23" s="196"/>
      <c r="H23" s="155"/>
    </row>
    <row r="24" spans="1:8" ht="12.75" hidden="1" customHeight="1" outlineLevel="1" x14ac:dyDescent="0.2">
      <c r="A24" s="142" t="str">
        <f>"   "&amp;Labels!B213</f>
        <v xml:space="preserve">   Sales</v>
      </c>
      <c r="B24" s="197"/>
      <c r="C24" s="197"/>
      <c r="D24" s="197"/>
      <c r="E24" s="197"/>
      <c r="F24" s="197"/>
      <c r="G24" s="197"/>
      <c r="H24" s="159"/>
    </row>
    <row r="25" spans="1:8" ht="12.75" hidden="1" customHeight="1" outlineLevel="1" x14ac:dyDescent="0.2">
      <c r="A25" s="144" t="str">
        <f>"      "&amp;Labels!B234</f>
        <v xml:space="preserve">      Job Level 1</v>
      </c>
      <c r="B25" s="158">
        <f>0.5*ROUND(2*Inputs!D73,0)</f>
        <v>0</v>
      </c>
      <c r="C25" s="158">
        <f>0.5*ROUND(2*Inputs!E73,0)</f>
        <v>0</v>
      </c>
      <c r="D25" s="158">
        <f>0.5*ROUND(2*Inputs!F73,0)</f>
        <v>0</v>
      </c>
      <c r="E25" s="158">
        <f>0.5*ROUND(2*Inputs!G73,0)</f>
        <v>0</v>
      </c>
      <c r="F25" s="158">
        <f>0.5*ROUND(2*Inputs!H73,0)</f>
        <v>0</v>
      </c>
      <c r="G25" s="158">
        <f>0.5*ROUND(2*Inputs!I73,0)</f>
        <v>0</v>
      </c>
      <c r="H25" s="159">
        <f>G25</f>
        <v>0</v>
      </c>
    </row>
    <row r="26" spans="1:8" ht="12.75" hidden="1" customHeight="1" outlineLevel="1" x14ac:dyDescent="0.2">
      <c r="A26" s="144" t="str">
        <f>"      "&amp;Labels!B235</f>
        <v xml:space="preserve">      Job Level 2</v>
      </c>
      <c r="B26" s="158">
        <f>0.5*ROUND(2*Inputs!D74,0)</f>
        <v>0</v>
      </c>
      <c r="C26" s="158">
        <f>0.5*ROUND(2*Inputs!E74,0)</f>
        <v>0</v>
      </c>
      <c r="D26" s="158">
        <f>0.5*ROUND(2*Inputs!F74,0)</f>
        <v>0</v>
      </c>
      <c r="E26" s="158">
        <f>0.5*ROUND(2*Inputs!G74,0)</f>
        <v>0</v>
      </c>
      <c r="F26" s="158">
        <f>0.5*ROUND(2*Inputs!H74,0)</f>
        <v>0</v>
      </c>
      <c r="G26" s="158">
        <f>0.5*ROUND(2*Inputs!I74,0)</f>
        <v>0</v>
      </c>
      <c r="H26" s="159">
        <f>G26</f>
        <v>0</v>
      </c>
    </row>
    <row r="27" spans="1:8" ht="12.75" hidden="1" customHeight="1" outlineLevel="1" x14ac:dyDescent="0.2">
      <c r="A27" s="142" t="str">
        <f>"      "&amp;Labels!C233</f>
        <v xml:space="preserve">      Total</v>
      </c>
      <c r="B27" s="197">
        <f t="shared" ref="B27:G27" si="6">SUM(B25:B26)</f>
        <v>0</v>
      </c>
      <c r="C27" s="197">
        <f t="shared" si="6"/>
        <v>0</v>
      </c>
      <c r="D27" s="197">
        <f t="shared" si="6"/>
        <v>0</v>
      </c>
      <c r="E27" s="197">
        <f t="shared" si="6"/>
        <v>0</v>
      </c>
      <c r="F27" s="197">
        <f t="shared" si="6"/>
        <v>0</v>
      </c>
      <c r="G27" s="197">
        <f t="shared" si="6"/>
        <v>0</v>
      </c>
      <c r="H27" s="159">
        <f>SUM(G25:G26)</f>
        <v>0</v>
      </c>
    </row>
    <row r="28" spans="1:8" ht="12.75" hidden="1" customHeight="1" outlineLevel="1" x14ac:dyDescent="0.2">
      <c r="A28" s="142" t="str">
        <f>"   "&amp;Labels!B214</f>
        <v xml:space="preserve">   Marketing</v>
      </c>
      <c r="B28" s="197"/>
      <c r="C28" s="197"/>
      <c r="D28" s="197"/>
      <c r="E28" s="197"/>
      <c r="F28" s="197"/>
      <c r="G28" s="197"/>
      <c r="H28" s="159"/>
    </row>
    <row r="29" spans="1:8" ht="12.75" hidden="1" customHeight="1" outlineLevel="1" x14ac:dyDescent="0.2">
      <c r="A29" s="144" t="str">
        <f>"      "&amp;Labels!B234</f>
        <v xml:space="preserve">      Job Level 1</v>
      </c>
      <c r="B29" s="158">
        <f>0.5*ROUND(2*Inputs!D75,0)</f>
        <v>0</v>
      </c>
      <c r="C29" s="158">
        <f>0.5*ROUND(2*Inputs!E75,0)</f>
        <v>0</v>
      </c>
      <c r="D29" s="158">
        <f>0.5*ROUND(2*Inputs!F75,0)</f>
        <v>0</v>
      </c>
      <c r="E29" s="158">
        <f>0.5*ROUND(2*Inputs!G75,0)</f>
        <v>0</v>
      </c>
      <c r="F29" s="158">
        <f>0.5*ROUND(2*Inputs!H75,0)</f>
        <v>0</v>
      </c>
      <c r="G29" s="158">
        <f>0.5*ROUND(2*Inputs!I75,0)</f>
        <v>0</v>
      </c>
      <c r="H29" s="159">
        <f>G29</f>
        <v>0</v>
      </c>
    </row>
    <row r="30" spans="1:8" ht="12.75" hidden="1" customHeight="1" outlineLevel="1" x14ac:dyDescent="0.2">
      <c r="A30" s="144" t="str">
        <f>"      "&amp;Labels!B235</f>
        <v xml:space="preserve">      Job Level 2</v>
      </c>
      <c r="B30" s="158">
        <f>0.5*ROUND(2*Inputs!D76,0)</f>
        <v>0</v>
      </c>
      <c r="C30" s="158">
        <f>0.5*ROUND(2*Inputs!E76,0)</f>
        <v>0</v>
      </c>
      <c r="D30" s="158">
        <f>0.5*ROUND(2*Inputs!F76,0)</f>
        <v>0</v>
      </c>
      <c r="E30" s="158">
        <f>0.5*ROUND(2*Inputs!G76,0)</f>
        <v>0</v>
      </c>
      <c r="F30" s="158">
        <f>0.5*ROUND(2*Inputs!H76,0)</f>
        <v>0</v>
      </c>
      <c r="G30" s="158">
        <f>0.5*ROUND(2*Inputs!I76,0)</f>
        <v>0</v>
      </c>
      <c r="H30" s="159">
        <f>G30</f>
        <v>0</v>
      </c>
    </row>
    <row r="31" spans="1:8" ht="12.75" hidden="1" customHeight="1" outlineLevel="1" x14ac:dyDescent="0.2">
      <c r="A31" s="142" t="str">
        <f>"      "&amp;Labels!C233</f>
        <v xml:space="preserve">      Total</v>
      </c>
      <c r="B31" s="197">
        <f t="shared" ref="B31:G31" si="7">SUM(B29:B30)</f>
        <v>0</v>
      </c>
      <c r="C31" s="197">
        <f t="shared" si="7"/>
        <v>0</v>
      </c>
      <c r="D31" s="197">
        <f t="shared" si="7"/>
        <v>0</v>
      </c>
      <c r="E31" s="197">
        <f t="shared" si="7"/>
        <v>0</v>
      </c>
      <c r="F31" s="197">
        <f t="shared" si="7"/>
        <v>0</v>
      </c>
      <c r="G31" s="197">
        <f t="shared" si="7"/>
        <v>0</v>
      </c>
      <c r="H31" s="159">
        <f>SUM(G29:G30)</f>
        <v>0</v>
      </c>
    </row>
    <row r="32" spans="1:8" ht="12.75" hidden="1" customHeight="1" outlineLevel="1" x14ac:dyDescent="0.2">
      <c r="A32" s="134" t="str">
        <f>"   "&amp;Labels!C212</f>
        <v xml:space="preserve">   Total</v>
      </c>
      <c r="B32" s="198">
        <f t="shared" ref="B32:G32" si="8">SUM(B27,B31)</f>
        <v>0</v>
      </c>
      <c r="C32" s="198">
        <f t="shared" si="8"/>
        <v>0</v>
      </c>
      <c r="D32" s="198">
        <f t="shared" si="8"/>
        <v>0</v>
      </c>
      <c r="E32" s="198">
        <f t="shared" si="8"/>
        <v>0</v>
      </c>
      <c r="F32" s="198">
        <f t="shared" si="8"/>
        <v>0</v>
      </c>
      <c r="G32" s="198">
        <f t="shared" si="8"/>
        <v>0</v>
      </c>
      <c r="H32" s="159">
        <f>SUM(G27,G31)</f>
        <v>0</v>
      </c>
    </row>
    <row r="33" spans="1:8" ht="12.75" hidden="1" customHeight="1" outlineLevel="1" x14ac:dyDescent="0.2">
      <c r="A33" s="144" t="str">
        <f>"      "&amp;Labels!B234</f>
        <v xml:space="preserve">      Job Level 1</v>
      </c>
      <c r="B33" s="158">
        <f t="shared" ref="B33:G35" si="9">SUM(B25,B29)</f>
        <v>0</v>
      </c>
      <c r="C33" s="158">
        <f t="shared" si="9"/>
        <v>0</v>
      </c>
      <c r="D33" s="158">
        <f t="shared" si="9"/>
        <v>0</v>
      </c>
      <c r="E33" s="158">
        <f t="shared" si="9"/>
        <v>0</v>
      </c>
      <c r="F33" s="158">
        <f t="shared" si="9"/>
        <v>0</v>
      </c>
      <c r="G33" s="158">
        <f t="shared" si="9"/>
        <v>0</v>
      </c>
      <c r="H33" s="159">
        <f>SUM(G25,G29)</f>
        <v>0</v>
      </c>
    </row>
    <row r="34" spans="1:8" ht="12.75" hidden="1" customHeight="1" outlineLevel="1" x14ac:dyDescent="0.2">
      <c r="A34" s="144" t="str">
        <f>"      "&amp;Labels!B235</f>
        <v xml:space="preserve">      Job Level 2</v>
      </c>
      <c r="B34" s="158">
        <f t="shared" si="9"/>
        <v>0</v>
      </c>
      <c r="C34" s="158">
        <f t="shared" si="9"/>
        <v>0</v>
      </c>
      <c r="D34" s="158">
        <f t="shared" si="9"/>
        <v>0</v>
      </c>
      <c r="E34" s="158">
        <f t="shared" si="9"/>
        <v>0</v>
      </c>
      <c r="F34" s="158">
        <f t="shared" si="9"/>
        <v>0</v>
      </c>
      <c r="G34" s="158">
        <f t="shared" si="9"/>
        <v>0</v>
      </c>
      <c r="H34" s="159">
        <f>SUM(G26,G30)</f>
        <v>0</v>
      </c>
    </row>
    <row r="35" spans="1:8" ht="12.75" hidden="1" customHeight="1" outlineLevel="1" x14ac:dyDescent="0.2">
      <c r="A35" s="163" t="str">
        <f>"      "&amp;Labels!C233</f>
        <v xml:space="preserve">      Total</v>
      </c>
      <c r="B35" s="199">
        <f t="shared" si="9"/>
        <v>0</v>
      </c>
      <c r="C35" s="199">
        <f t="shared" si="9"/>
        <v>0</v>
      </c>
      <c r="D35" s="199">
        <f t="shared" si="9"/>
        <v>0</v>
      </c>
      <c r="E35" s="199">
        <f t="shared" si="9"/>
        <v>0</v>
      </c>
      <c r="F35" s="199">
        <f t="shared" si="9"/>
        <v>0</v>
      </c>
      <c r="G35" s="199">
        <f t="shared" si="9"/>
        <v>0</v>
      </c>
      <c r="H35" s="157">
        <f>SUM(G27,G31)</f>
        <v>0</v>
      </c>
    </row>
    <row r="36" spans="1:8" ht="12.75" hidden="1" customHeight="1" outlineLevel="1" collapsed="1" x14ac:dyDescent="0.2"/>
    <row r="37" spans="1:8" ht="12.75" customHeight="1" collapsed="1" x14ac:dyDescent="0.2">
      <c r="A37" s="321" t="str">
        <f>"Employee Expense"</f>
        <v>Employee Expense</v>
      </c>
      <c r="B37" s="321"/>
    </row>
    <row r="38" spans="1:8" ht="12.75" hidden="1" customHeight="1" outlineLevel="1" x14ac:dyDescent="0.2">
      <c r="A38" s="321" t="str">
        <f>""</f>
        <v/>
      </c>
      <c r="B38" s="321"/>
    </row>
    <row r="39" spans="1:8" ht="12.75" hidden="1" customHeight="1" outlineLevel="1" x14ac:dyDescent="0.2">
      <c r="B39" s="10" t="str">
        <f>'(FnCalls 1)'!F41</f>
        <v>MMM 2011</v>
      </c>
      <c r="C39" s="11" t="str">
        <f>'(FnCalls 1)'!F42</f>
        <v>MMM 2011</v>
      </c>
      <c r="D39" s="11" t="str">
        <f>'(FnCalls 1)'!F43</f>
        <v>MMM 2011</v>
      </c>
      <c r="E39" s="11" t="str">
        <f>'(FnCalls 1)'!F44</f>
        <v>MMM 2011</v>
      </c>
      <c r="F39" s="11" t="str">
        <f>'(FnCalls 1)'!F45</f>
        <v>MMM 2011</v>
      </c>
      <c r="G39" s="11" t="str">
        <f>'(FnCalls 1)'!F46</f>
        <v>MMM 2011</v>
      </c>
      <c r="H39" s="94" t="str">
        <f>'(FnCalls 1)'!H41</f>
        <v>2011</v>
      </c>
    </row>
    <row r="40" spans="1:8" ht="12.75" hidden="1" customHeight="1" outlineLevel="1" x14ac:dyDescent="0.2">
      <c r="A40" s="128" t="str">
        <f>Labels!B80</f>
        <v>Indirect Labor Expense</v>
      </c>
      <c r="B40" s="141"/>
      <c r="C40" s="141"/>
      <c r="D40" s="141"/>
      <c r="E40" s="141"/>
      <c r="F40" s="141"/>
      <c r="G40" s="141"/>
      <c r="H40" s="130"/>
    </row>
    <row r="41" spans="1:8" ht="12.75" hidden="1" customHeight="1" outlineLevel="1" x14ac:dyDescent="0.2">
      <c r="A41" s="142" t="str">
        <f>"   "&amp;Labels!B213</f>
        <v xml:space="preserve">   Sales</v>
      </c>
      <c r="B41" s="143"/>
      <c r="C41" s="143"/>
      <c r="D41" s="143"/>
      <c r="E41" s="143"/>
      <c r="F41" s="143"/>
      <c r="G41" s="143"/>
      <c r="H41" s="136"/>
    </row>
    <row r="42" spans="1:8" ht="12.75" hidden="1" customHeight="1" outlineLevel="1" x14ac:dyDescent="0.2">
      <c r="A42" s="144" t="str">
        <f>"      "&amp;Labels!B234</f>
        <v xml:space="preserve">      Job Level 1</v>
      </c>
      <c r="B42" s="135">
        <f>B56*1+B56*Inputs!D98+B86*1+B86*Inputs!D98+B56*Inputs!D97+IF(Labels!B213="Sales",IF(B56&gt;0,'(Tables)'!B253*B25*B70/B58*(1+Inputs!D98),0),0)</f>
        <v>0</v>
      </c>
      <c r="C42" s="135">
        <f>C56*1+C56*Inputs!E98+C86*1+C86*Inputs!E98+C56*Inputs!E97+IF(Labels!B213="Sales",IF(C56&gt;0,'(Tables)'!C253*C25*C70/C58*(1+Inputs!E98),0),0)</f>
        <v>0</v>
      </c>
      <c r="D42" s="135">
        <f>D56*1+D56*Inputs!F98+D86*1+D86*Inputs!F98+D56*Inputs!F97+IF(Labels!B213="Sales",IF(D56&gt;0,'(Tables)'!D253*D25*D70/D58*(1+Inputs!F98),0),0)</f>
        <v>0</v>
      </c>
      <c r="E42" s="135">
        <f>E56*1+E56*Inputs!G98+E86*1+E86*Inputs!G98+E56*Inputs!G97+IF(Labels!B213="Sales",IF(E56&gt;0,'(Tables)'!E253*E25*E70/E58*(1+Inputs!G98),0),0)</f>
        <v>0</v>
      </c>
      <c r="F42" s="135">
        <f>F56*1+F56*Inputs!H98+F86*1+F86*Inputs!H98+F56*Inputs!H97+IF(Labels!B213="Sales",IF(F56&gt;0,'(Tables)'!F253*F25*F70/F58*(1+Inputs!H98),0),0)</f>
        <v>0</v>
      </c>
      <c r="G42" s="135">
        <f>G56*1+G56*Inputs!I98+G86*1+G86*Inputs!I98+G56*Inputs!I97+IF(Labels!B213="Sales",IF(G56&gt;0,'(Tables)'!G253*G25*G70/G58*(1+Inputs!I98),0),0)</f>
        <v>0</v>
      </c>
      <c r="H42" s="136">
        <f>SUM(B42:G42)</f>
        <v>0</v>
      </c>
    </row>
    <row r="43" spans="1:8" ht="12.75" hidden="1" customHeight="1" outlineLevel="1" x14ac:dyDescent="0.2">
      <c r="A43" s="144" t="str">
        <f>"      "&amp;Labels!B235</f>
        <v xml:space="preserve">      Job Level 2</v>
      </c>
      <c r="B43" s="135">
        <f>B57*1+B57*Inputs!D98+B87*1+B87*Inputs!D98+B57*Inputs!D97+IF(Labels!B213="Sales",IF(B57&gt;0,'(Tables)'!B253*B26*B71/B58*(1+Inputs!D98),0),0)</f>
        <v>0</v>
      </c>
      <c r="C43" s="135">
        <f>C57*1+C57*Inputs!E98+C87*1+C87*Inputs!E98+C57*Inputs!E97+IF(Labels!B213="Sales",IF(C57&gt;0,'(Tables)'!C253*C26*C71/C58*(1+Inputs!E98),0),0)</f>
        <v>0</v>
      </c>
      <c r="D43" s="135">
        <f>D57*1+D57*Inputs!F98+D87*1+D87*Inputs!F98+D57*Inputs!F97+IF(Labels!B213="Sales",IF(D57&gt;0,'(Tables)'!D253*D26*D71/D58*(1+Inputs!F98),0),0)</f>
        <v>0</v>
      </c>
      <c r="E43" s="135">
        <f>E57*1+E57*Inputs!G98+E87*1+E87*Inputs!G98+E57*Inputs!G97+IF(Labels!B213="Sales",IF(E57&gt;0,'(Tables)'!E253*E26*E71/E58*(1+Inputs!G98),0),0)</f>
        <v>0</v>
      </c>
      <c r="F43" s="135">
        <f>F57*1+F57*Inputs!H98+F87*1+F87*Inputs!H98+F57*Inputs!H97+IF(Labels!B213="Sales",IF(F57&gt;0,'(Tables)'!F253*F26*F71/F58*(1+Inputs!H98),0),0)</f>
        <v>0</v>
      </c>
      <c r="G43" s="135">
        <f>G57*1+G57*Inputs!I98+G87*1+G87*Inputs!I98+G57*Inputs!I97+IF(Labels!B213="Sales",IF(G57&gt;0,'(Tables)'!G253*G26*G71/G58*(1+Inputs!I98),0),0)</f>
        <v>0</v>
      </c>
      <c r="H43" s="136">
        <f>SUM(B43:G43)</f>
        <v>0</v>
      </c>
    </row>
    <row r="44" spans="1:8" ht="12.75" hidden="1" customHeight="1" outlineLevel="1" x14ac:dyDescent="0.2">
      <c r="A44" s="142" t="str">
        <f>"      "&amp;Labels!C233</f>
        <v xml:space="preserve">      Total</v>
      </c>
      <c r="B44" s="143">
        <f t="shared" ref="B44:G44" si="10">SUM(B42:B43)</f>
        <v>0</v>
      </c>
      <c r="C44" s="143">
        <f t="shared" si="10"/>
        <v>0</v>
      </c>
      <c r="D44" s="143">
        <f t="shared" si="10"/>
        <v>0</v>
      </c>
      <c r="E44" s="143">
        <f t="shared" si="10"/>
        <v>0</v>
      </c>
      <c r="F44" s="143">
        <f t="shared" si="10"/>
        <v>0</v>
      </c>
      <c r="G44" s="143">
        <f t="shared" si="10"/>
        <v>0</v>
      </c>
      <c r="H44" s="136">
        <f>SUM(B44:G44)</f>
        <v>0</v>
      </c>
    </row>
    <row r="45" spans="1:8" ht="12.75" hidden="1" customHeight="1" outlineLevel="1" x14ac:dyDescent="0.2">
      <c r="A45" s="142" t="str">
        <f>"   "&amp;Labels!B214</f>
        <v xml:space="preserve">   Marketing</v>
      </c>
      <c r="B45" s="143"/>
      <c r="C45" s="143"/>
      <c r="D45" s="143"/>
      <c r="E45" s="143"/>
      <c r="F45" s="143"/>
      <c r="G45" s="143"/>
      <c r="H45" s="136"/>
    </row>
    <row r="46" spans="1:8" ht="12.75" hidden="1" customHeight="1" outlineLevel="1" x14ac:dyDescent="0.2">
      <c r="A46" s="144" t="str">
        <f>"      "&amp;Labels!B234</f>
        <v xml:space="preserve">      Job Level 1</v>
      </c>
      <c r="B46" s="135">
        <f>B60*1+B60*Inputs!D98+B90*1+B90*Inputs!D98+B60*Inputs!D97+IF(Labels!B214="Sales",IF(B60&gt;0,'(Tables)'!B253*B29*B74/B58*(1+Inputs!D98),0),0)</f>
        <v>0</v>
      </c>
      <c r="C46" s="135">
        <f>C60*1+C60*Inputs!E98+C90*1+C90*Inputs!E98+C60*Inputs!E97+IF(Labels!B214="Sales",IF(C60&gt;0,'(Tables)'!C253*C29*C74/C58*(1+Inputs!E98),0),0)</f>
        <v>0</v>
      </c>
      <c r="D46" s="135">
        <f>D60*1+D60*Inputs!F98+D90*1+D90*Inputs!F98+D60*Inputs!F97+IF(Labels!B214="Sales",IF(D60&gt;0,'(Tables)'!D253*D29*D74/D58*(1+Inputs!F98),0),0)</f>
        <v>0</v>
      </c>
      <c r="E46" s="135">
        <f>E60*1+E60*Inputs!G98+E90*1+E90*Inputs!G98+E60*Inputs!G97+IF(Labels!B214="Sales",IF(E60&gt;0,'(Tables)'!E253*E29*E74/E58*(1+Inputs!G98),0),0)</f>
        <v>0</v>
      </c>
      <c r="F46" s="135">
        <f>F60*1+F60*Inputs!H98+F90*1+F90*Inputs!H98+F60*Inputs!H97+IF(Labels!B214="Sales",IF(F60&gt;0,'(Tables)'!F253*F29*F74/F58*(1+Inputs!H98),0),0)</f>
        <v>0</v>
      </c>
      <c r="G46" s="135">
        <f>G60*1+G60*Inputs!I98+G90*1+G90*Inputs!I98+G60*Inputs!I97+IF(Labels!B214="Sales",IF(G60&gt;0,'(Tables)'!G253*G29*G74/G58*(1+Inputs!I98),0),0)</f>
        <v>0</v>
      </c>
      <c r="H46" s="136">
        <f t="shared" ref="H46:H51" si="11">SUM(B46:G46)</f>
        <v>0</v>
      </c>
    </row>
    <row r="47" spans="1:8" ht="12.75" hidden="1" customHeight="1" outlineLevel="1" x14ac:dyDescent="0.2">
      <c r="A47" s="144" t="str">
        <f>"      "&amp;Labels!B235</f>
        <v xml:space="preserve">      Job Level 2</v>
      </c>
      <c r="B47" s="135">
        <f>B61*1+B61*Inputs!D98+B91*1+B91*Inputs!D98+B61*Inputs!D97+IF(Labels!B214="Sales",IF(B61&gt;0,'(Tables)'!B253*B30*B75/B58*(1+Inputs!D98),0),0)</f>
        <v>0</v>
      </c>
      <c r="C47" s="135">
        <f>C61*1+C61*Inputs!E98+C91*1+C91*Inputs!E98+C61*Inputs!E97+IF(Labels!B214="Sales",IF(C61&gt;0,'(Tables)'!C253*C30*C75/C58*(1+Inputs!E98),0),0)</f>
        <v>0</v>
      </c>
      <c r="D47" s="135">
        <f>D61*1+D61*Inputs!F98+D91*1+D91*Inputs!F98+D61*Inputs!F97+IF(Labels!B214="Sales",IF(D61&gt;0,'(Tables)'!D253*D30*D75/D58*(1+Inputs!F98),0),0)</f>
        <v>0</v>
      </c>
      <c r="E47" s="135">
        <f>E61*1+E61*Inputs!G98+E91*1+E91*Inputs!G98+E61*Inputs!G97+IF(Labels!B214="Sales",IF(E61&gt;0,'(Tables)'!E253*E30*E75/E58*(1+Inputs!G98),0),0)</f>
        <v>0</v>
      </c>
      <c r="F47" s="135">
        <f>F61*1+F61*Inputs!H98+F91*1+F91*Inputs!H98+F61*Inputs!H97+IF(Labels!B214="Sales",IF(F61&gt;0,'(Tables)'!F253*F30*F75/F58*(1+Inputs!H98),0),0)</f>
        <v>0</v>
      </c>
      <c r="G47" s="135">
        <f>G61*1+G61*Inputs!I98+G91*1+G91*Inputs!I98+G61*Inputs!I97+IF(Labels!B214="Sales",IF(G61&gt;0,'(Tables)'!G253*G30*G75/G58*(1+Inputs!I98),0),0)</f>
        <v>0</v>
      </c>
      <c r="H47" s="136">
        <f t="shared" si="11"/>
        <v>0</v>
      </c>
    </row>
    <row r="48" spans="1:8" ht="12.75" hidden="1" customHeight="1" outlineLevel="1" x14ac:dyDescent="0.2">
      <c r="A48" s="142" t="str">
        <f>"      "&amp;Labels!C233</f>
        <v xml:space="preserve">      Total</v>
      </c>
      <c r="B48" s="143">
        <f t="shared" ref="B48:G48" si="12">SUM(B46:B47)</f>
        <v>0</v>
      </c>
      <c r="C48" s="143">
        <f t="shared" si="12"/>
        <v>0</v>
      </c>
      <c r="D48" s="143">
        <f t="shared" si="12"/>
        <v>0</v>
      </c>
      <c r="E48" s="143">
        <f t="shared" si="12"/>
        <v>0</v>
      </c>
      <c r="F48" s="143">
        <f t="shared" si="12"/>
        <v>0</v>
      </c>
      <c r="G48" s="143">
        <f t="shared" si="12"/>
        <v>0</v>
      </c>
      <c r="H48" s="136">
        <f t="shared" si="11"/>
        <v>0</v>
      </c>
    </row>
    <row r="49" spans="1:8" ht="12.75" hidden="1" customHeight="1" outlineLevel="1" x14ac:dyDescent="0.2">
      <c r="A49" s="134" t="str">
        <f>"   "&amp;Labels!C212</f>
        <v xml:space="preserve">   Total</v>
      </c>
      <c r="B49" s="145">
        <f t="shared" ref="B49:G49" si="13">SUM(B44,B48)</f>
        <v>0</v>
      </c>
      <c r="C49" s="145">
        <f t="shared" si="13"/>
        <v>0</v>
      </c>
      <c r="D49" s="145">
        <f t="shared" si="13"/>
        <v>0</v>
      </c>
      <c r="E49" s="145">
        <f t="shared" si="13"/>
        <v>0</v>
      </c>
      <c r="F49" s="145">
        <f t="shared" si="13"/>
        <v>0</v>
      </c>
      <c r="G49" s="145">
        <f t="shared" si="13"/>
        <v>0</v>
      </c>
      <c r="H49" s="136">
        <f t="shared" si="11"/>
        <v>0</v>
      </c>
    </row>
    <row r="50" spans="1:8" ht="12.75" hidden="1" customHeight="1" outlineLevel="1" x14ac:dyDescent="0.2">
      <c r="A50" s="144" t="str">
        <f>"      "&amp;Labels!B234</f>
        <v xml:space="preserve">      Job Level 1</v>
      </c>
      <c r="B50" s="135">
        <f t="shared" ref="B50:G52" si="14">SUM(B42,B46)</f>
        <v>0</v>
      </c>
      <c r="C50" s="135">
        <f t="shared" si="14"/>
        <v>0</v>
      </c>
      <c r="D50" s="135">
        <f t="shared" si="14"/>
        <v>0</v>
      </c>
      <c r="E50" s="135">
        <f t="shared" si="14"/>
        <v>0</v>
      </c>
      <c r="F50" s="135">
        <f t="shared" si="14"/>
        <v>0</v>
      </c>
      <c r="G50" s="135">
        <f t="shared" si="14"/>
        <v>0</v>
      </c>
      <c r="H50" s="136">
        <f t="shared" si="11"/>
        <v>0</v>
      </c>
    </row>
    <row r="51" spans="1:8" ht="12.75" hidden="1" customHeight="1" outlineLevel="1" x14ac:dyDescent="0.2">
      <c r="A51" s="144" t="str">
        <f>"      "&amp;Labels!B235</f>
        <v xml:space="preserve">      Job Level 2</v>
      </c>
      <c r="B51" s="135">
        <f t="shared" si="14"/>
        <v>0</v>
      </c>
      <c r="C51" s="135">
        <f t="shared" si="14"/>
        <v>0</v>
      </c>
      <c r="D51" s="135">
        <f t="shared" si="14"/>
        <v>0</v>
      </c>
      <c r="E51" s="135">
        <f t="shared" si="14"/>
        <v>0</v>
      </c>
      <c r="F51" s="135">
        <f t="shared" si="14"/>
        <v>0</v>
      </c>
      <c r="G51" s="135">
        <f t="shared" si="14"/>
        <v>0</v>
      </c>
      <c r="H51" s="136">
        <f t="shared" si="11"/>
        <v>0</v>
      </c>
    </row>
    <row r="52" spans="1:8" ht="12.75" hidden="1" customHeight="1" outlineLevel="1" x14ac:dyDescent="0.2">
      <c r="A52" s="142" t="str">
        <f>"      "&amp;Labels!C233</f>
        <v xml:space="preserve">      Total</v>
      </c>
      <c r="B52" s="143">
        <f t="shared" si="14"/>
        <v>0</v>
      </c>
      <c r="C52" s="143">
        <f t="shared" si="14"/>
        <v>0</v>
      </c>
      <c r="D52" s="143">
        <f t="shared" si="14"/>
        <v>0</v>
      </c>
      <c r="E52" s="143">
        <f t="shared" si="14"/>
        <v>0</v>
      </c>
      <c r="F52" s="143">
        <f t="shared" si="14"/>
        <v>0</v>
      </c>
      <c r="G52" s="143">
        <f t="shared" si="14"/>
        <v>0</v>
      </c>
      <c r="H52" s="136">
        <f>SUM(B49:G49)</f>
        <v>0</v>
      </c>
    </row>
    <row r="53" spans="1:8" ht="12.75" hidden="1" customHeight="1" outlineLevel="1" x14ac:dyDescent="0.2">
      <c r="A53" s="91"/>
      <c r="B53" s="6"/>
      <c r="C53" s="6"/>
      <c r="D53" s="6"/>
      <c r="E53" s="6"/>
      <c r="F53" s="6"/>
      <c r="G53" s="6"/>
      <c r="H53" s="91"/>
    </row>
    <row r="54" spans="1:8" ht="12.75" hidden="1" customHeight="1" outlineLevel="1" x14ac:dyDescent="0.2">
      <c r="A54" s="134" t="str">
        <f>Labels!B173</f>
        <v>Wage Expense</v>
      </c>
      <c r="B54" s="191"/>
      <c r="C54" s="191"/>
      <c r="D54" s="191"/>
      <c r="E54" s="191"/>
      <c r="F54" s="191"/>
      <c r="G54" s="191"/>
      <c r="H54" s="138"/>
    </row>
    <row r="55" spans="1:8" ht="12.75" hidden="1" customHeight="1" outlineLevel="1" x14ac:dyDescent="0.2">
      <c r="A55" s="142" t="str">
        <f>"   "&amp;Labels!B213</f>
        <v xml:space="preserve">   Sales</v>
      </c>
      <c r="B55" s="190"/>
      <c r="C55" s="190"/>
      <c r="D55" s="190"/>
      <c r="E55" s="190"/>
      <c r="F55" s="190"/>
      <c r="G55" s="190"/>
      <c r="H55" s="138"/>
    </row>
    <row r="56" spans="1:8" ht="12.75" hidden="1" customHeight="1" outlineLevel="1" x14ac:dyDescent="0.2">
      <c r="A56" s="144" t="str">
        <f>"      "&amp;Labels!B234</f>
        <v xml:space="preserve">      Job Level 1</v>
      </c>
      <c r="B56" s="137">
        <f t="shared" ref="B56:G57" si="15">B25*B70</f>
        <v>0</v>
      </c>
      <c r="C56" s="137">
        <f t="shared" si="15"/>
        <v>0</v>
      </c>
      <c r="D56" s="137">
        <f t="shared" si="15"/>
        <v>0</v>
      </c>
      <c r="E56" s="137">
        <f t="shared" si="15"/>
        <v>0</v>
      </c>
      <c r="F56" s="137">
        <f t="shared" si="15"/>
        <v>0</v>
      </c>
      <c r="G56" s="137">
        <f t="shared" si="15"/>
        <v>0</v>
      </c>
      <c r="H56" s="138">
        <f>SUM(B56:G56)</f>
        <v>0</v>
      </c>
    </row>
    <row r="57" spans="1:8" ht="12.75" hidden="1" customHeight="1" outlineLevel="1" x14ac:dyDescent="0.2">
      <c r="A57" s="144" t="str">
        <f>"      "&amp;Labels!B235</f>
        <v xml:space="preserve">      Job Level 2</v>
      </c>
      <c r="B57" s="137">
        <f t="shared" si="15"/>
        <v>0</v>
      </c>
      <c r="C57" s="137">
        <f t="shared" si="15"/>
        <v>0</v>
      </c>
      <c r="D57" s="137">
        <f t="shared" si="15"/>
        <v>0</v>
      </c>
      <c r="E57" s="137">
        <f t="shared" si="15"/>
        <v>0</v>
      </c>
      <c r="F57" s="137">
        <f t="shared" si="15"/>
        <v>0</v>
      </c>
      <c r="G57" s="137">
        <f t="shared" si="15"/>
        <v>0</v>
      </c>
      <c r="H57" s="138">
        <f>SUM(B57:G57)</f>
        <v>0</v>
      </c>
    </row>
    <row r="58" spans="1:8" ht="12.75" hidden="1" customHeight="1" outlineLevel="1" x14ac:dyDescent="0.2">
      <c r="A58" s="142" t="str">
        <f>"      "&amp;Labels!C233</f>
        <v xml:space="preserve">      Total</v>
      </c>
      <c r="B58" s="190">
        <f t="shared" ref="B58:G58" si="16">SUM(B56:B57)</f>
        <v>0</v>
      </c>
      <c r="C58" s="190">
        <f t="shared" si="16"/>
        <v>0</v>
      </c>
      <c r="D58" s="190">
        <f t="shared" si="16"/>
        <v>0</v>
      </c>
      <c r="E58" s="190">
        <f t="shared" si="16"/>
        <v>0</v>
      </c>
      <c r="F58" s="190">
        <f t="shared" si="16"/>
        <v>0</v>
      </c>
      <c r="G58" s="190">
        <f t="shared" si="16"/>
        <v>0</v>
      </c>
      <c r="H58" s="138">
        <f>SUM(B58:G58)</f>
        <v>0</v>
      </c>
    </row>
    <row r="59" spans="1:8" ht="12.75" hidden="1" customHeight="1" outlineLevel="1" x14ac:dyDescent="0.2">
      <c r="A59" s="142" t="str">
        <f>"   "&amp;Labels!B214</f>
        <v xml:space="preserve">   Marketing</v>
      </c>
      <c r="B59" s="190"/>
      <c r="C59" s="190"/>
      <c r="D59" s="190"/>
      <c r="E59" s="190"/>
      <c r="F59" s="190"/>
      <c r="G59" s="190"/>
      <c r="H59" s="138"/>
    </row>
    <row r="60" spans="1:8" ht="12.75" hidden="1" customHeight="1" outlineLevel="1" x14ac:dyDescent="0.2">
      <c r="A60" s="144" t="str">
        <f>"      "&amp;Labels!B234</f>
        <v xml:space="preserve">      Job Level 1</v>
      </c>
      <c r="B60" s="137">
        <f t="shared" ref="B60:G61" si="17">B29*B74</f>
        <v>0</v>
      </c>
      <c r="C60" s="137">
        <f t="shared" si="17"/>
        <v>0</v>
      </c>
      <c r="D60" s="137">
        <f t="shared" si="17"/>
        <v>0</v>
      </c>
      <c r="E60" s="137">
        <f t="shared" si="17"/>
        <v>0</v>
      </c>
      <c r="F60" s="137">
        <f t="shared" si="17"/>
        <v>0</v>
      </c>
      <c r="G60" s="137">
        <f t="shared" si="17"/>
        <v>0</v>
      </c>
      <c r="H60" s="138">
        <f t="shared" ref="H60:H65" si="18">SUM(B60:G60)</f>
        <v>0</v>
      </c>
    </row>
    <row r="61" spans="1:8" ht="12.75" hidden="1" customHeight="1" outlineLevel="1" x14ac:dyDescent="0.2">
      <c r="A61" s="144" t="str">
        <f>"      "&amp;Labels!B235</f>
        <v xml:space="preserve">      Job Level 2</v>
      </c>
      <c r="B61" s="137">
        <f t="shared" si="17"/>
        <v>0</v>
      </c>
      <c r="C61" s="137">
        <f t="shared" si="17"/>
        <v>0</v>
      </c>
      <c r="D61" s="137">
        <f t="shared" si="17"/>
        <v>0</v>
      </c>
      <c r="E61" s="137">
        <f t="shared" si="17"/>
        <v>0</v>
      </c>
      <c r="F61" s="137">
        <f t="shared" si="17"/>
        <v>0</v>
      </c>
      <c r="G61" s="137">
        <f t="shared" si="17"/>
        <v>0</v>
      </c>
      <c r="H61" s="138">
        <f t="shared" si="18"/>
        <v>0</v>
      </c>
    </row>
    <row r="62" spans="1:8" ht="12.75" hidden="1" customHeight="1" outlineLevel="1" x14ac:dyDescent="0.2">
      <c r="A62" s="142" t="str">
        <f>"      "&amp;Labels!C233</f>
        <v xml:space="preserve">      Total</v>
      </c>
      <c r="B62" s="190">
        <f t="shared" ref="B62:G62" si="19">SUM(B60:B61)</f>
        <v>0</v>
      </c>
      <c r="C62" s="190">
        <f t="shared" si="19"/>
        <v>0</v>
      </c>
      <c r="D62" s="190">
        <f t="shared" si="19"/>
        <v>0</v>
      </c>
      <c r="E62" s="190">
        <f t="shared" si="19"/>
        <v>0</v>
      </c>
      <c r="F62" s="190">
        <f t="shared" si="19"/>
        <v>0</v>
      </c>
      <c r="G62" s="190">
        <f t="shared" si="19"/>
        <v>0</v>
      </c>
      <c r="H62" s="138">
        <f t="shared" si="18"/>
        <v>0</v>
      </c>
    </row>
    <row r="63" spans="1:8" ht="12.75" hidden="1" customHeight="1" outlineLevel="1" x14ac:dyDescent="0.2">
      <c r="A63" s="134" t="str">
        <f>"   "&amp;Labels!C212</f>
        <v xml:space="preserve">   Total</v>
      </c>
      <c r="B63" s="191">
        <f t="shared" ref="B63:G63" si="20">SUM(B58,B62)</f>
        <v>0</v>
      </c>
      <c r="C63" s="191">
        <f t="shared" si="20"/>
        <v>0</v>
      </c>
      <c r="D63" s="191">
        <f t="shared" si="20"/>
        <v>0</v>
      </c>
      <c r="E63" s="191">
        <f t="shared" si="20"/>
        <v>0</v>
      </c>
      <c r="F63" s="191">
        <f t="shared" si="20"/>
        <v>0</v>
      </c>
      <c r="G63" s="191">
        <f t="shared" si="20"/>
        <v>0</v>
      </c>
      <c r="H63" s="138">
        <f t="shared" si="18"/>
        <v>0</v>
      </c>
    </row>
    <row r="64" spans="1:8" ht="12.75" hidden="1" customHeight="1" outlineLevel="1" x14ac:dyDescent="0.2">
      <c r="A64" s="144" t="str">
        <f>"      "&amp;Labels!B234</f>
        <v xml:space="preserve">      Job Level 1</v>
      </c>
      <c r="B64" s="137">
        <f t="shared" ref="B64:G66" si="21">SUM(B56,B60)</f>
        <v>0</v>
      </c>
      <c r="C64" s="137">
        <f t="shared" si="21"/>
        <v>0</v>
      </c>
      <c r="D64" s="137">
        <f t="shared" si="21"/>
        <v>0</v>
      </c>
      <c r="E64" s="137">
        <f t="shared" si="21"/>
        <v>0</v>
      </c>
      <c r="F64" s="137">
        <f t="shared" si="21"/>
        <v>0</v>
      </c>
      <c r="G64" s="137">
        <f t="shared" si="21"/>
        <v>0</v>
      </c>
      <c r="H64" s="138">
        <f t="shared" si="18"/>
        <v>0</v>
      </c>
    </row>
    <row r="65" spans="1:8" ht="12.75" hidden="1" customHeight="1" outlineLevel="1" x14ac:dyDescent="0.2">
      <c r="A65" s="144" t="str">
        <f>"      "&amp;Labels!B235</f>
        <v xml:space="preserve">      Job Level 2</v>
      </c>
      <c r="B65" s="137">
        <f t="shared" si="21"/>
        <v>0</v>
      </c>
      <c r="C65" s="137">
        <f t="shared" si="21"/>
        <v>0</v>
      </c>
      <c r="D65" s="137">
        <f t="shared" si="21"/>
        <v>0</v>
      </c>
      <c r="E65" s="137">
        <f t="shared" si="21"/>
        <v>0</v>
      </c>
      <c r="F65" s="137">
        <f t="shared" si="21"/>
        <v>0</v>
      </c>
      <c r="G65" s="137">
        <f t="shared" si="21"/>
        <v>0</v>
      </c>
      <c r="H65" s="138">
        <f t="shared" si="18"/>
        <v>0</v>
      </c>
    </row>
    <row r="66" spans="1:8" ht="12.75" hidden="1" customHeight="1" outlineLevel="1" x14ac:dyDescent="0.2">
      <c r="A66" s="142" t="str">
        <f>"      "&amp;Labels!C233</f>
        <v xml:space="preserve">      Total</v>
      </c>
      <c r="B66" s="190">
        <f t="shared" si="21"/>
        <v>0</v>
      </c>
      <c r="C66" s="190">
        <f t="shared" si="21"/>
        <v>0</v>
      </c>
      <c r="D66" s="190">
        <f t="shared" si="21"/>
        <v>0</v>
      </c>
      <c r="E66" s="190">
        <f t="shared" si="21"/>
        <v>0</v>
      </c>
      <c r="F66" s="190">
        <f t="shared" si="21"/>
        <v>0</v>
      </c>
      <c r="G66" s="190">
        <f t="shared" si="21"/>
        <v>0</v>
      </c>
      <c r="H66" s="138">
        <f>SUM(B63:G63)</f>
        <v>0</v>
      </c>
    </row>
    <row r="67" spans="1:8" ht="12.75" hidden="1" customHeight="1" outlineLevel="1" x14ac:dyDescent="0.2">
      <c r="A67" s="91"/>
      <c r="B67" s="6"/>
      <c r="C67" s="6"/>
      <c r="D67" s="6"/>
      <c r="E67" s="6"/>
      <c r="F67" s="6"/>
      <c r="G67" s="6"/>
      <c r="H67" s="91"/>
    </row>
    <row r="68" spans="1:8" ht="12.75" hidden="1" customHeight="1" outlineLevel="1" x14ac:dyDescent="0.2">
      <c r="A68" s="134" t="str">
        <f>Labels!B170</f>
        <v>Average Wage</v>
      </c>
      <c r="B68" s="191"/>
      <c r="C68" s="191"/>
      <c r="D68" s="191"/>
      <c r="E68" s="191"/>
      <c r="F68" s="191"/>
      <c r="G68" s="191"/>
      <c r="H68" s="138"/>
    </row>
    <row r="69" spans="1:8" ht="12.75" hidden="1" customHeight="1" outlineLevel="1" x14ac:dyDescent="0.2">
      <c r="A69" s="142" t="str">
        <f>"   "&amp;Labels!B213</f>
        <v xml:space="preserve">   Sales</v>
      </c>
      <c r="B69" s="190"/>
      <c r="C69" s="190"/>
      <c r="D69" s="190"/>
      <c r="E69" s="190"/>
      <c r="F69" s="190"/>
      <c r="G69" s="190"/>
      <c r="H69" s="138"/>
    </row>
    <row r="70" spans="1:8" ht="12.75" hidden="1" customHeight="1" outlineLevel="1" x14ac:dyDescent="0.2">
      <c r="A70" s="144" t="str">
        <f>"      "&amp;Labels!B234</f>
        <v xml:space="preserve">      Job Level 1</v>
      </c>
      <c r="B70" s="137">
        <f>IF('(Tables)'!C148&lt;0.001+1/12,Inputs!D81/12,(1+'(Tables)'!B250)*0)</f>
        <v>6666.666666666667</v>
      </c>
      <c r="C70" s="137">
        <f>IF('(Tables)'!D148&lt;0.001+1/12,Inputs!D81/12,(1+'(Tables)'!C250)*B70)</f>
        <v>6666.666666666667</v>
      </c>
      <c r="D70" s="137">
        <f>IF('(Tables)'!E148&lt;0.001+1/12,Inputs!D81/12,(1+'(Tables)'!D250)*C70)</f>
        <v>6666.666666666667</v>
      </c>
      <c r="E70" s="137">
        <f>IF('(Tables)'!F148&lt;0.001+1/12,Inputs!D81/12,(1+'(Tables)'!E250)*D70)</f>
        <v>6666.666666666667</v>
      </c>
      <c r="F70" s="137">
        <f>IF('(Tables)'!G148&lt;0.001+1/12,Inputs!D81/12,(1+'(Tables)'!F250)*E70)</f>
        <v>6666.666666666667</v>
      </c>
      <c r="G70" s="137">
        <f>IF('(Tables)'!H148&lt;0.001+1/12,Inputs!D81/12,(1+'(Tables)'!G250)*F70)</f>
        <v>6666.666666666667</v>
      </c>
      <c r="H70" s="138">
        <f>IF(G25=0,0,SUM(B56:G56)/G25)</f>
        <v>0</v>
      </c>
    </row>
    <row r="71" spans="1:8" ht="12.75" hidden="1" customHeight="1" outlineLevel="1" x14ac:dyDescent="0.2">
      <c r="A71" s="144" t="str">
        <f>"      "&amp;Labels!B235</f>
        <v xml:space="preserve">      Job Level 2</v>
      </c>
      <c r="B71" s="137">
        <f>IF('(Tables)'!C148&lt;0.001+1/12,Inputs!D82/12,(1+'(Tables)'!B250)*0)</f>
        <v>6666.666666666667</v>
      </c>
      <c r="C71" s="137">
        <f>IF('(Tables)'!D148&lt;0.001+1/12,Inputs!D82/12,(1+'(Tables)'!C250)*B71)</f>
        <v>6666.666666666667</v>
      </c>
      <c r="D71" s="137">
        <f>IF('(Tables)'!E148&lt;0.001+1/12,Inputs!D82/12,(1+'(Tables)'!D250)*C71)</f>
        <v>6666.666666666667</v>
      </c>
      <c r="E71" s="137">
        <f>IF('(Tables)'!F148&lt;0.001+1/12,Inputs!D82/12,(1+'(Tables)'!E250)*D71)</f>
        <v>6666.666666666667</v>
      </c>
      <c r="F71" s="137">
        <f>IF('(Tables)'!G148&lt;0.001+1/12,Inputs!D82/12,(1+'(Tables)'!F250)*E71)</f>
        <v>6666.666666666667</v>
      </c>
      <c r="G71" s="137">
        <f>IF('(Tables)'!H148&lt;0.001+1/12,Inputs!D82/12,(1+'(Tables)'!G250)*F71)</f>
        <v>6666.666666666667</v>
      </c>
      <c r="H71" s="138">
        <f>IF(G26=0,0,SUM(B57:G57)/G26)</f>
        <v>0</v>
      </c>
    </row>
    <row r="72" spans="1:8" ht="12.75" hidden="1" customHeight="1" outlineLevel="1" x14ac:dyDescent="0.2">
      <c r="A72" s="142" t="str">
        <f>"      "&amp;Labels!C233</f>
        <v xml:space="preserve">      Total</v>
      </c>
      <c r="B72" s="190">
        <f t="shared" ref="B72:G72" si="22">IF(B9=0,0,B58/B9)</f>
        <v>0</v>
      </c>
      <c r="C72" s="190">
        <f t="shared" si="22"/>
        <v>0</v>
      </c>
      <c r="D72" s="190">
        <f t="shared" si="22"/>
        <v>0</v>
      </c>
      <c r="E72" s="190">
        <f t="shared" si="22"/>
        <v>0</v>
      </c>
      <c r="F72" s="190">
        <f t="shared" si="22"/>
        <v>0</v>
      </c>
      <c r="G72" s="190">
        <f t="shared" si="22"/>
        <v>0</v>
      </c>
      <c r="H72" s="138">
        <f>IF(G9=0,0,SUM(B58:G58)/G9)</f>
        <v>0</v>
      </c>
    </row>
    <row r="73" spans="1:8" ht="12.75" hidden="1" customHeight="1" outlineLevel="1" x14ac:dyDescent="0.2">
      <c r="A73" s="142" t="str">
        <f>"   "&amp;Labels!B214</f>
        <v xml:space="preserve">   Marketing</v>
      </c>
      <c r="B73" s="190"/>
      <c r="C73" s="190"/>
      <c r="D73" s="190"/>
      <c r="E73" s="190"/>
      <c r="F73" s="190"/>
      <c r="G73" s="190"/>
      <c r="H73" s="138"/>
    </row>
    <row r="74" spans="1:8" ht="12.75" hidden="1" customHeight="1" outlineLevel="1" x14ac:dyDescent="0.2">
      <c r="A74" s="144" t="str">
        <f>"      "&amp;Labels!B234</f>
        <v xml:space="preserve">      Job Level 1</v>
      </c>
      <c r="B74" s="137">
        <f>IF('(Tables)'!C148&lt;0.001+1/12,Inputs!E81/12,(1+'(Tables)'!B250)*0)</f>
        <v>6666.666666666667</v>
      </c>
      <c r="C74" s="137">
        <f>IF('(Tables)'!D148&lt;0.001+1/12,Inputs!E81/12,(1+'(Tables)'!C250)*B74)</f>
        <v>6666.666666666667</v>
      </c>
      <c r="D74" s="137">
        <f>IF('(Tables)'!E148&lt;0.001+1/12,Inputs!E81/12,(1+'(Tables)'!D250)*C74)</f>
        <v>6666.666666666667</v>
      </c>
      <c r="E74" s="137">
        <f>IF('(Tables)'!F148&lt;0.001+1/12,Inputs!E81/12,(1+'(Tables)'!E250)*D74)</f>
        <v>6666.666666666667</v>
      </c>
      <c r="F74" s="137">
        <f>IF('(Tables)'!G148&lt;0.001+1/12,Inputs!E81/12,(1+'(Tables)'!F250)*E74)</f>
        <v>6666.666666666667</v>
      </c>
      <c r="G74" s="137">
        <f>IF('(Tables)'!H148&lt;0.001+1/12,Inputs!E81/12,(1+'(Tables)'!G250)*F74)</f>
        <v>6666.666666666667</v>
      </c>
      <c r="H74" s="138">
        <f>IF(G29=0,0,SUM(B60:G60)/G29)</f>
        <v>0</v>
      </c>
    </row>
    <row r="75" spans="1:8" ht="12.75" hidden="1" customHeight="1" outlineLevel="1" x14ac:dyDescent="0.2">
      <c r="A75" s="144" t="str">
        <f>"      "&amp;Labels!B235</f>
        <v xml:space="preserve">      Job Level 2</v>
      </c>
      <c r="B75" s="137">
        <f>IF('(Tables)'!C148&lt;0.001+1/12,Inputs!E82/12,(1+'(Tables)'!B250)*0)</f>
        <v>6666.666666666667</v>
      </c>
      <c r="C75" s="137">
        <f>IF('(Tables)'!D148&lt;0.001+1/12,Inputs!E82/12,(1+'(Tables)'!C250)*B75)</f>
        <v>6666.666666666667</v>
      </c>
      <c r="D75" s="137">
        <f>IF('(Tables)'!E148&lt;0.001+1/12,Inputs!E82/12,(1+'(Tables)'!D250)*C75)</f>
        <v>6666.666666666667</v>
      </c>
      <c r="E75" s="137">
        <f>IF('(Tables)'!F148&lt;0.001+1/12,Inputs!E82/12,(1+'(Tables)'!E250)*D75)</f>
        <v>6666.666666666667</v>
      </c>
      <c r="F75" s="137">
        <f>IF('(Tables)'!G148&lt;0.001+1/12,Inputs!E82/12,(1+'(Tables)'!F250)*E75)</f>
        <v>6666.666666666667</v>
      </c>
      <c r="G75" s="137">
        <f>IF('(Tables)'!H148&lt;0.001+1/12,Inputs!E82/12,(1+'(Tables)'!G250)*F75)</f>
        <v>6666.666666666667</v>
      </c>
      <c r="H75" s="138">
        <f>IF(G30=0,0,SUM(B61:G61)/G30)</f>
        <v>0</v>
      </c>
    </row>
    <row r="76" spans="1:8" ht="12.75" hidden="1" customHeight="1" outlineLevel="1" x14ac:dyDescent="0.2">
      <c r="A76" s="142" t="str">
        <f>"      "&amp;Labels!C233</f>
        <v xml:space="preserve">      Total</v>
      </c>
      <c r="B76" s="190">
        <f t="shared" ref="B76:G77" si="23">IF(B10=0,0,B62/B10)</f>
        <v>0</v>
      </c>
      <c r="C76" s="190">
        <f t="shared" si="23"/>
        <v>0</v>
      </c>
      <c r="D76" s="190">
        <f t="shared" si="23"/>
        <v>0</v>
      </c>
      <c r="E76" s="190">
        <f t="shared" si="23"/>
        <v>0</v>
      </c>
      <c r="F76" s="190">
        <f t="shared" si="23"/>
        <v>0</v>
      </c>
      <c r="G76" s="190">
        <f t="shared" si="23"/>
        <v>0</v>
      </c>
      <c r="H76" s="138">
        <f>IF(G10=0,0,SUM(B62:G62)/G10)</f>
        <v>0</v>
      </c>
    </row>
    <row r="77" spans="1:8" ht="12.75" hidden="1" customHeight="1" outlineLevel="1" x14ac:dyDescent="0.2">
      <c r="A77" s="134" t="str">
        <f>"   "&amp;Labels!C212</f>
        <v xml:space="preserve">   Total</v>
      </c>
      <c r="B77" s="191">
        <f t="shared" si="23"/>
        <v>0</v>
      </c>
      <c r="C77" s="191">
        <f t="shared" si="23"/>
        <v>0</v>
      </c>
      <c r="D77" s="191">
        <f t="shared" si="23"/>
        <v>0</v>
      </c>
      <c r="E77" s="191">
        <f t="shared" si="23"/>
        <v>0</v>
      </c>
      <c r="F77" s="191">
        <f t="shared" si="23"/>
        <v>0</v>
      </c>
      <c r="G77" s="191">
        <f t="shared" si="23"/>
        <v>0</v>
      </c>
      <c r="H77" s="138">
        <f>IF(G11=0,0,SUM(B63:G63)/G11)</f>
        <v>0</v>
      </c>
    </row>
    <row r="78" spans="1:8" ht="12.75" hidden="1" customHeight="1" outlineLevel="1" x14ac:dyDescent="0.2">
      <c r="A78" s="144" t="str">
        <f>"      "&amp;Labels!B234</f>
        <v xml:space="preserve">      Job Level 1</v>
      </c>
      <c r="B78" s="137">
        <f t="shared" ref="B78:G79" si="24">IF(B33=0,0,B64/B33)</f>
        <v>0</v>
      </c>
      <c r="C78" s="137">
        <f t="shared" si="24"/>
        <v>0</v>
      </c>
      <c r="D78" s="137">
        <f t="shared" si="24"/>
        <v>0</v>
      </c>
      <c r="E78" s="137">
        <f t="shared" si="24"/>
        <v>0</v>
      </c>
      <c r="F78" s="137">
        <f t="shared" si="24"/>
        <v>0</v>
      </c>
      <c r="G78" s="137">
        <f t="shared" si="24"/>
        <v>0</v>
      </c>
      <c r="H78" s="138">
        <f>IF(G33=0,0,SUM(B64:G64)/G33)</f>
        <v>0</v>
      </c>
    </row>
    <row r="79" spans="1:8" ht="12.75" hidden="1" customHeight="1" outlineLevel="1" x14ac:dyDescent="0.2">
      <c r="A79" s="144" t="str">
        <f>"      "&amp;Labels!B235</f>
        <v xml:space="preserve">      Job Level 2</v>
      </c>
      <c r="B79" s="137">
        <f t="shared" si="24"/>
        <v>0</v>
      </c>
      <c r="C79" s="137">
        <f t="shared" si="24"/>
        <v>0</v>
      </c>
      <c r="D79" s="137">
        <f t="shared" si="24"/>
        <v>0</v>
      </c>
      <c r="E79" s="137">
        <f t="shared" si="24"/>
        <v>0</v>
      </c>
      <c r="F79" s="137">
        <f t="shared" si="24"/>
        <v>0</v>
      </c>
      <c r="G79" s="137">
        <f t="shared" si="24"/>
        <v>0</v>
      </c>
      <c r="H79" s="138">
        <f>IF(G34=0,0,SUM(B65:G65)/G34)</f>
        <v>0</v>
      </c>
    </row>
    <row r="80" spans="1:8" ht="12.75" hidden="1" customHeight="1" outlineLevel="1" x14ac:dyDescent="0.2">
      <c r="A80" s="142" t="str">
        <f>"      "&amp;Labels!C233</f>
        <v xml:space="preserve">      Total</v>
      </c>
      <c r="B80" s="190">
        <f t="shared" ref="B80:G80" si="25">IF(B11=0,0,B63/B11)</f>
        <v>0</v>
      </c>
      <c r="C80" s="190">
        <f t="shared" si="25"/>
        <v>0</v>
      </c>
      <c r="D80" s="190">
        <f t="shared" si="25"/>
        <v>0</v>
      </c>
      <c r="E80" s="190">
        <f t="shared" si="25"/>
        <v>0</v>
      </c>
      <c r="F80" s="190">
        <f t="shared" si="25"/>
        <v>0</v>
      </c>
      <c r="G80" s="190">
        <f t="shared" si="25"/>
        <v>0</v>
      </c>
      <c r="H80" s="138">
        <f>IF(G11=0,0,SUM(B63:G63)/G11)</f>
        <v>0</v>
      </c>
    </row>
    <row r="81" spans="1:8" ht="12.75" hidden="1" customHeight="1" outlineLevel="1" x14ac:dyDescent="0.2">
      <c r="A81" s="91"/>
      <c r="B81" s="6"/>
      <c r="C81" s="6"/>
      <c r="D81" s="6"/>
      <c r="E81" s="6"/>
      <c r="F81" s="6"/>
      <c r="G81" s="6"/>
      <c r="H81" s="91"/>
    </row>
    <row r="82" spans="1:8" ht="12.75" hidden="1" customHeight="1" outlineLevel="1" x14ac:dyDescent="0.2">
      <c r="A82" s="134" t="str">
        <f>Labels!B175</f>
        <v>Wage increase %</v>
      </c>
      <c r="B82" s="167">
        <f>Inputs!D85</f>
        <v>0</v>
      </c>
      <c r="C82" s="167">
        <f>Inputs!E85</f>
        <v>0</v>
      </c>
      <c r="D82" s="167">
        <f>Inputs!F85</f>
        <v>0</v>
      </c>
      <c r="E82" s="167">
        <f>Inputs!G85</f>
        <v>0</v>
      </c>
      <c r="F82" s="167">
        <f>Inputs!H85</f>
        <v>0</v>
      </c>
      <c r="G82" s="167">
        <f>Inputs!I85</f>
        <v>0</v>
      </c>
      <c r="H82" s="153">
        <f>(1+B82)^1*(1+C82)^1*(1+D82)^1*(1+E82)^1*(1+F82)^1*(1+G82)^1-1</f>
        <v>0</v>
      </c>
    </row>
    <row r="83" spans="1:8" ht="12.75" hidden="1" customHeight="1" outlineLevel="1" x14ac:dyDescent="0.2">
      <c r="A83" s="91"/>
      <c r="B83" s="6"/>
      <c r="C83" s="6"/>
      <c r="D83" s="6"/>
      <c r="E83" s="6"/>
      <c r="F83" s="6"/>
      <c r="G83" s="6"/>
      <c r="H83" s="91"/>
    </row>
    <row r="84" spans="1:8" ht="12.75" hidden="1" customHeight="1" outlineLevel="1" x14ac:dyDescent="0.2">
      <c r="A84" s="134" t="str">
        <f>Labels!B61</f>
        <v>Employee Bonus</v>
      </c>
      <c r="B84" s="200"/>
      <c r="C84" s="200"/>
      <c r="D84" s="200"/>
      <c r="E84" s="200"/>
      <c r="F84" s="200"/>
      <c r="G84" s="200"/>
      <c r="H84" s="201"/>
    </row>
    <row r="85" spans="1:8" ht="12.75" hidden="1" customHeight="1" outlineLevel="1" x14ac:dyDescent="0.2">
      <c r="A85" s="142" t="str">
        <f>"   "&amp;Labels!B213</f>
        <v xml:space="preserve">   Sales</v>
      </c>
      <c r="B85" s="202"/>
      <c r="C85" s="202"/>
      <c r="D85" s="202"/>
      <c r="E85" s="202"/>
      <c r="F85" s="202"/>
      <c r="G85" s="202"/>
      <c r="H85" s="201"/>
    </row>
    <row r="86" spans="1:8" ht="12.75" hidden="1" customHeight="1" outlineLevel="1" x14ac:dyDescent="0.2">
      <c r="A86" s="144" t="str">
        <f>"      "&amp;Labels!B234</f>
        <v xml:space="preserve">      Job Level 1</v>
      </c>
      <c r="B86" s="203">
        <f>Inputs!D89*B56</f>
        <v>0</v>
      </c>
      <c r="C86" s="203">
        <f>Inputs!E89*C56</f>
        <v>0</v>
      </c>
      <c r="D86" s="203">
        <f>Inputs!F89*D56</f>
        <v>0</v>
      </c>
      <c r="E86" s="203">
        <f>Inputs!G89*E56</f>
        <v>0</v>
      </c>
      <c r="F86" s="203">
        <f>Inputs!H89*F56</f>
        <v>0</v>
      </c>
      <c r="G86" s="203">
        <f>Inputs!I89*G56</f>
        <v>0</v>
      </c>
      <c r="H86" s="201">
        <f>SUM(B86:G86)</f>
        <v>0</v>
      </c>
    </row>
    <row r="87" spans="1:8" ht="12.75" hidden="1" customHeight="1" outlineLevel="1" x14ac:dyDescent="0.2">
      <c r="A87" s="144" t="str">
        <f>"      "&amp;Labels!B235</f>
        <v xml:space="preserve">      Job Level 2</v>
      </c>
      <c r="B87" s="203">
        <f>Inputs!D90*B57</f>
        <v>0</v>
      </c>
      <c r="C87" s="203">
        <f>Inputs!E90*C57</f>
        <v>0</v>
      </c>
      <c r="D87" s="203">
        <f>Inputs!F90*D57</f>
        <v>0</v>
      </c>
      <c r="E87" s="203">
        <f>Inputs!G90*E57</f>
        <v>0</v>
      </c>
      <c r="F87" s="203">
        <f>Inputs!H90*F57</f>
        <v>0</v>
      </c>
      <c r="G87" s="203">
        <f>Inputs!I90*G57</f>
        <v>0</v>
      </c>
      <c r="H87" s="201">
        <f>SUM(B87:G87)</f>
        <v>0</v>
      </c>
    </row>
    <row r="88" spans="1:8" ht="12.75" hidden="1" customHeight="1" outlineLevel="1" x14ac:dyDescent="0.2">
      <c r="A88" s="142" t="str">
        <f>"      "&amp;Labels!C233</f>
        <v xml:space="preserve">      Total</v>
      </c>
      <c r="B88" s="202">
        <f t="shared" ref="B88:G88" si="26">SUM(B86:B87)</f>
        <v>0</v>
      </c>
      <c r="C88" s="202">
        <f t="shared" si="26"/>
        <v>0</v>
      </c>
      <c r="D88" s="202">
        <f t="shared" si="26"/>
        <v>0</v>
      </c>
      <c r="E88" s="202">
        <f t="shared" si="26"/>
        <v>0</v>
      </c>
      <c r="F88" s="202">
        <f t="shared" si="26"/>
        <v>0</v>
      </c>
      <c r="G88" s="202">
        <f t="shared" si="26"/>
        <v>0</v>
      </c>
      <c r="H88" s="201">
        <f>SUM(B88:G88)</f>
        <v>0</v>
      </c>
    </row>
    <row r="89" spans="1:8" ht="12.75" hidden="1" customHeight="1" outlineLevel="1" x14ac:dyDescent="0.2">
      <c r="A89" s="142" t="str">
        <f>"   "&amp;Labels!B214</f>
        <v xml:space="preserve">   Marketing</v>
      </c>
      <c r="B89" s="202"/>
      <c r="C89" s="202"/>
      <c r="D89" s="202"/>
      <c r="E89" s="202"/>
      <c r="F89" s="202"/>
      <c r="G89" s="202"/>
      <c r="H89" s="201"/>
    </row>
    <row r="90" spans="1:8" ht="12.75" hidden="1" customHeight="1" outlineLevel="1" x14ac:dyDescent="0.2">
      <c r="A90" s="144" t="str">
        <f>"      "&amp;Labels!B234</f>
        <v xml:space="preserve">      Job Level 1</v>
      </c>
      <c r="B90" s="203">
        <f>Inputs!D91*B60</f>
        <v>0</v>
      </c>
      <c r="C90" s="203">
        <f>Inputs!E91*C60</f>
        <v>0</v>
      </c>
      <c r="D90" s="203">
        <f>Inputs!F91*D60</f>
        <v>0</v>
      </c>
      <c r="E90" s="203">
        <f>Inputs!G91*E60</f>
        <v>0</v>
      </c>
      <c r="F90" s="203">
        <f>Inputs!H91*F60</f>
        <v>0</v>
      </c>
      <c r="G90" s="203">
        <f>Inputs!I91*G60</f>
        <v>0</v>
      </c>
      <c r="H90" s="201">
        <f t="shared" ref="H90:H95" si="27">SUM(B90:G90)</f>
        <v>0</v>
      </c>
    </row>
    <row r="91" spans="1:8" ht="12.75" hidden="1" customHeight="1" outlineLevel="1" x14ac:dyDescent="0.2">
      <c r="A91" s="144" t="str">
        <f>"      "&amp;Labels!B235</f>
        <v xml:space="preserve">      Job Level 2</v>
      </c>
      <c r="B91" s="203">
        <f>Inputs!D92*B61</f>
        <v>0</v>
      </c>
      <c r="C91" s="203">
        <f>Inputs!E92*C61</f>
        <v>0</v>
      </c>
      <c r="D91" s="203">
        <f>Inputs!F92*D61</f>
        <v>0</v>
      </c>
      <c r="E91" s="203">
        <f>Inputs!G92*E61</f>
        <v>0</v>
      </c>
      <c r="F91" s="203">
        <f>Inputs!H92*F61</f>
        <v>0</v>
      </c>
      <c r="G91" s="203">
        <f>Inputs!I92*G61</f>
        <v>0</v>
      </c>
      <c r="H91" s="201">
        <f t="shared" si="27"/>
        <v>0</v>
      </c>
    </row>
    <row r="92" spans="1:8" ht="12.75" hidden="1" customHeight="1" outlineLevel="1" x14ac:dyDescent="0.2">
      <c r="A92" s="142" t="str">
        <f>"      "&amp;Labels!C233</f>
        <v xml:space="preserve">      Total</v>
      </c>
      <c r="B92" s="202">
        <f t="shared" ref="B92:G92" si="28">SUM(B90:B91)</f>
        <v>0</v>
      </c>
      <c r="C92" s="202">
        <f t="shared" si="28"/>
        <v>0</v>
      </c>
      <c r="D92" s="202">
        <f t="shared" si="28"/>
        <v>0</v>
      </c>
      <c r="E92" s="202">
        <f t="shared" si="28"/>
        <v>0</v>
      </c>
      <c r="F92" s="202">
        <f t="shared" si="28"/>
        <v>0</v>
      </c>
      <c r="G92" s="202">
        <f t="shared" si="28"/>
        <v>0</v>
      </c>
      <c r="H92" s="201">
        <f t="shared" si="27"/>
        <v>0</v>
      </c>
    </row>
    <row r="93" spans="1:8" ht="12.75" hidden="1" customHeight="1" outlineLevel="1" x14ac:dyDescent="0.2">
      <c r="A93" s="134" t="str">
        <f>"   "&amp;Labels!C212</f>
        <v xml:space="preserve">   Total</v>
      </c>
      <c r="B93" s="200">
        <f t="shared" ref="B93:G93" si="29">SUM(B88,B92)</f>
        <v>0</v>
      </c>
      <c r="C93" s="200">
        <f t="shared" si="29"/>
        <v>0</v>
      </c>
      <c r="D93" s="200">
        <f t="shared" si="29"/>
        <v>0</v>
      </c>
      <c r="E93" s="200">
        <f t="shared" si="29"/>
        <v>0</v>
      </c>
      <c r="F93" s="200">
        <f t="shared" si="29"/>
        <v>0</v>
      </c>
      <c r="G93" s="200">
        <f t="shared" si="29"/>
        <v>0</v>
      </c>
      <c r="H93" s="201">
        <f t="shared" si="27"/>
        <v>0</v>
      </c>
    </row>
    <row r="94" spans="1:8" ht="12.75" hidden="1" customHeight="1" outlineLevel="1" x14ac:dyDescent="0.2">
      <c r="A94" s="144" t="str">
        <f>"      "&amp;Labels!B234</f>
        <v xml:space="preserve">      Job Level 1</v>
      </c>
      <c r="B94" s="203">
        <f t="shared" ref="B94:G96" si="30">SUM(B86,B90)</f>
        <v>0</v>
      </c>
      <c r="C94" s="203">
        <f t="shared" si="30"/>
        <v>0</v>
      </c>
      <c r="D94" s="203">
        <f t="shared" si="30"/>
        <v>0</v>
      </c>
      <c r="E94" s="203">
        <f t="shared" si="30"/>
        <v>0</v>
      </c>
      <c r="F94" s="203">
        <f t="shared" si="30"/>
        <v>0</v>
      </c>
      <c r="G94" s="203">
        <f t="shared" si="30"/>
        <v>0</v>
      </c>
      <c r="H94" s="201">
        <f t="shared" si="27"/>
        <v>0</v>
      </c>
    </row>
    <row r="95" spans="1:8" ht="12.75" hidden="1" customHeight="1" outlineLevel="1" x14ac:dyDescent="0.2">
      <c r="A95" s="144" t="str">
        <f>"      "&amp;Labels!B235</f>
        <v xml:space="preserve">      Job Level 2</v>
      </c>
      <c r="B95" s="203">
        <f t="shared" si="30"/>
        <v>0</v>
      </c>
      <c r="C95" s="203">
        <f t="shared" si="30"/>
        <v>0</v>
      </c>
      <c r="D95" s="203">
        <f t="shared" si="30"/>
        <v>0</v>
      </c>
      <c r="E95" s="203">
        <f t="shared" si="30"/>
        <v>0</v>
      </c>
      <c r="F95" s="203">
        <f t="shared" si="30"/>
        <v>0</v>
      </c>
      <c r="G95" s="203">
        <f t="shared" si="30"/>
        <v>0</v>
      </c>
      <c r="H95" s="201">
        <f t="shared" si="27"/>
        <v>0</v>
      </c>
    </row>
    <row r="96" spans="1:8" ht="12.75" hidden="1" customHeight="1" outlineLevel="1" x14ac:dyDescent="0.2">
      <c r="A96" s="142" t="str">
        <f>"      "&amp;Labels!C233</f>
        <v xml:space="preserve">      Total</v>
      </c>
      <c r="B96" s="202">
        <f t="shared" si="30"/>
        <v>0</v>
      </c>
      <c r="C96" s="202">
        <f t="shared" si="30"/>
        <v>0</v>
      </c>
      <c r="D96" s="202">
        <f t="shared" si="30"/>
        <v>0</v>
      </c>
      <c r="E96" s="202">
        <f t="shared" si="30"/>
        <v>0</v>
      </c>
      <c r="F96" s="202">
        <f t="shared" si="30"/>
        <v>0</v>
      </c>
      <c r="G96" s="202">
        <f t="shared" si="30"/>
        <v>0</v>
      </c>
      <c r="H96" s="201">
        <f>SUM(B93:G93)</f>
        <v>0</v>
      </c>
    </row>
    <row r="97" spans="1:8" ht="12.75" hidden="1" customHeight="1" outlineLevel="1" x14ac:dyDescent="0.2">
      <c r="A97" s="91"/>
      <c r="B97" s="6"/>
      <c r="C97" s="6"/>
      <c r="D97" s="6"/>
      <c r="E97" s="6"/>
      <c r="F97" s="6"/>
      <c r="G97" s="6"/>
      <c r="H97" s="91"/>
    </row>
    <row r="98" spans="1:8" ht="12.75" hidden="1" customHeight="1" outlineLevel="1" x14ac:dyDescent="0.2">
      <c r="A98" s="134" t="str">
        <f>Labels!B66</f>
        <v>Employee Rel Exp</v>
      </c>
      <c r="B98" s="191"/>
      <c r="C98" s="191"/>
      <c r="D98" s="191"/>
      <c r="E98" s="191"/>
      <c r="F98" s="191"/>
      <c r="G98" s="191"/>
      <c r="H98" s="138"/>
    </row>
    <row r="99" spans="1:8" ht="12.75" hidden="1" customHeight="1" outlineLevel="1" x14ac:dyDescent="0.2">
      <c r="A99" s="142" t="str">
        <f>"   "&amp;Labels!B213</f>
        <v xml:space="preserve">   Sales</v>
      </c>
      <c r="B99" s="190"/>
      <c r="C99" s="190"/>
      <c r="D99" s="190"/>
      <c r="E99" s="190"/>
      <c r="F99" s="190"/>
      <c r="G99" s="190"/>
      <c r="H99" s="138"/>
    </row>
    <row r="100" spans="1:8" ht="12.75" hidden="1" customHeight="1" outlineLevel="1" x14ac:dyDescent="0.2">
      <c r="A100" s="144" t="str">
        <f>"      "&amp;Labels!B222</f>
        <v xml:space="preserve">      Supplies</v>
      </c>
      <c r="B100" s="137">
        <f>OpExp!B74</f>
        <v>0</v>
      </c>
      <c r="C100" s="137">
        <f>OpExp!C74</f>
        <v>0</v>
      </c>
      <c r="D100" s="137">
        <f>OpExp!D74</f>
        <v>0</v>
      </c>
      <c r="E100" s="137">
        <f>OpExp!E74</f>
        <v>0</v>
      </c>
      <c r="F100" s="137">
        <f>OpExp!F74</f>
        <v>0</v>
      </c>
      <c r="G100" s="137">
        <f>OpExp!G74</f>
        <v>0</v>
      </c>
      <c r="H100" s="138">
        <f>SUM(B100:G100)</f>
        <v>0</v>
      </c>
    </row>
    <row r="101" spans="1:8" ht="12.75" hidden="1" customHeight="1" outlineLevel="1" x14ac:dyDescent="0.2">
      <c r="A101" s="144" t="str">
        <f>"      "&amp;Labels!B223</f>
        <v xml:space="preserve">      Travel Entertainment</v>
      </c>
      <c r="B101" s="137">
        <f>OpExp!B75</f>
        <v>0</v>
      </c>
      <c r="C101" s="137">
        <f>OpExp!C75</f>
        <v>0</v>
      </c>
      <c r="D101" s="137">
        <f>OpExp!D75</f>
        <v>0</v>
      </c>
      <c r="E101" s="137">
        <f>OpExp!E75</f>
        <v>0</v>
      </c>
      <c r="F101" s="137">
        <f>OpExp!F75</f>
        <v>0</v>
      </c>
      <c r="G101" s="137">
        <f>OpExp!G75</f>
        <v>0</v>
      </c>
      <c r="H101" s="138">
        <f>SUM(B101:G101)</f>
        <v>0</v>
      </c>
    </row>
    <row r="102" spans="1:8" ht="12.75" hidden="1" customHeight="1" outlineLevel="1" x14ac:dyDescent="0.2">
      <c r="A102" s="144" t="str">
        <f>"      "&amp;Labels!B224</f>
        <v xml:space="preserve">      Other</v>
      </c>
      <c r="B102" s="137">
        <f>OpExp!B76</f>
        <v>0</v>
      </c>
      <c r="C102" s="137">
        <f>OpExp!C76</f>
        <v>0</v>
      </c>
      <c r="D102" s="137">
        <f>OpExp!D76</f>
        <v>0</v>
      </c>
      <c r="E102" s="137">
        <f>OpExp!E76</f>
        <v>0</v>
      </c>
      <c r="F102" s="137">
        <f>OpExp!F76</f>
        <v>0</v>
      </c>
      <c r="G102" s="137">
        <f>OpExp!G76</f>
        <v>0</v>
      </c>
      <c r="H102" s="138">
        <f>SUM(B102:G102)</f>
        <v>0</v>
      </c>
    </row>
    <row r="103" spans="1:8" ht="12.75" hidden="1" customHeight="1" outlineLevel="1" x14ac:dyDescent="0.2">
      <c r="A103" s="142" t="str">
        <f>"      "&amp;Labels!C221</f>
        <v xml:space="preserve">      Total</v>
      </c>
      <c r="B103" s="190">
        <f t="shared" ref="B103:G103" si="31">SUM(B100:B102)</f>
        <v>0</v>
      </c>
      <c r="C103" s="190">
        <f t="shared" si="31"/>
        <v>0</v>
      </c>
      <c r="D103" s="190">
        <f t="shared" si="31"/>
        <v>0</v>
      </c>
      <c r="E103" s="190">
        <f t="shared" si="31"/>
        <v>0</v>
      </c>
      <c r="F103" s="190">
        <f t="shared" si="31"/>
        <v>0</v>
      </c>
      <c r="G103" s="190">
        <f t="shared" si="31"/>
        <v>0</v>
      </c>
      <c r="H103" s="138">
        <f>SUM(B103:G103)</f>
        <v>0</v>
      </c>
    </row>
    <row r="104" spans="1:8" ht="12.75" hidden="1" customHeight="1" outlineLevel="1" x14ac:dyDescent="0.2">
      <c r="A104" s="142" t="str">
        <f>"   "&amp;Labels!B214</f>
        <v xml:space="preserve">   Marketing</v>
      </c>
      <c r="B104" s="190"/>
      <c r="C104" s="190"/>
      <c r="D104" s="190"/>
      <c r="E104" s="190"/>
      <c r="F104" s="190"/>
      <c r="G104" s="190"/>
      <c r="H104" s="138"/>
    </row>
    <row r="105" spans="1:8" ht="12.75" hidden="1" customHeight="1" outlineLevel="1" x14ac:dyDescent="0.2">
      <c r="A105" s="144" t="str">
        <f>"      "&amp;Labels!B222</f>
        <v xml:space="preserve">      Supplies</v>
      </c>
      <c r="B105" s="137">
        <f>OpExp!B79</f>
        <v>0</v>
      </c>
      <c r="C105" s="137">
        <f>OpExp!C79</f>
        <v>0</v>
      </c>
      <c r="D105" s="137">
        <f>OpExp!D79</f>
        <v>0</v>
      </c>
      <c r="E105" s="137">
        <f>OpExp!E79</f>
        <v>0</v>
      </c>
      <c r="F105" s="137">
        <f>OpExp!F79</f>
        <v>0</v>
      </c>
      <c r="G105" s="137">
        <f>OpExp!G79</f>
        <v>0</v>
      </c>
      <c r="H105" s="138">
        <f t="shared" ref="H105:H112" si="32">SUM(B105:G105)</f>
        <v>0</v>
      </c>
    </row>
    <row r="106" spans="1:8" ht="12.75" hidden="1" customHeight="1" outlineLevel="1" x14ac:dyDescent="0.2">
      <c r="A106" s="144" t="str">
        <f>"      "&amp;Labels!B223</f>
        <v xml:space="preserve">      Travel Entertainment</v>
      </c>
      <c r="B106" s="137">
        <f>OpExp!B80</f>
        <v>0</v>
      </c>
      <c r="C106" s="137">
        <f>OpExp!C80</f>
        <v>0</v>
      </c>
      <c r="D106" s="137">
        <f>OpExp!D80</f>
        <v>0</v>
      </c>
      <c r="E106" s="137">
        <f>OpExp!E80</f>
        <v>0</v>
      </c>
      <c r="F106" s="137">
        <f>OpExp!F80</f>
        <v>0</v>
      </c>
      <c r="G106" s="137">
        <f>OpExp!G80</f>
        <v>0</v>
      </c>
      <c r="H106" s="138">
        <f t="shared" si="32"/>
        <v>0</v>
      </c>
    </row>
    <row r="107" spans="1:8" ht="12.75" hidden="1" customHeight="1" outlineLevel="1" x14ac:dyDescent="0.2">
      <c r="A107" s="144" t="str">
        <f>"      "&amp;Labels!B224</f>
        <v xml:space="preserve">      Other</v>
      </c>
      <c r="B107" s="137">
        <f>OpExp!B81</f>
        <v>0</v>
      </c>
      <c r="C107" s="137">
        <f>OpExp!C81</f>
        <v>0</v>
      </c>
      <c r="D107" s="137">
        <f>OpExp!D81</f>
        <v>0</v>
      </c>
      <c r="E107" s="137">
        <f>OpExp!E81</f>
        <v>0</v>
      </c>
      <c r="F107" s="137">
        <f>OpExp!F81</f>
        <v>0</v>
      </c>
      <c r="G107" s="137">
        <f>OpExp!G81</f>
        <v>0</v>
      </c>
      <c r="H107" s="138">
        <f t="shared" si="32"/>
        <v>0</v>
      </c>
    </row>
    <row r="108" spans="1:8" ht="12.75" hidden="1" customHeight="1" outlineLevel="1" x14ac:dyDescent="0.2">
      <c r="A108" s="142" t="str">
        <f>"      "&amp;Labels!C221</f>
        <v xml:space="preserve">      Total</v>
      </c>
      <c r="B108" s="190">
        <f t="shared" ref="B108:G108" si="33">SUM(B105:B107)</f>
        <v>0</v>
      </c>
      <c r="C108" s="190">
        <f t="shared" si="33"/>
        <v>0</v>
      </c>
      <c r="D108" s="190">
        <f t="shared" si="33"/>
        <v>0</v>
      </c>
      <c r="E108" s="190">
        <f t="shared" si="33"/>
        <v>0</v>
      </c>
      <c r="F108" s="190">
        <f t="shared" si="33"/>
        <v>0</v>
      </c>
      <c r="G108" s="190">
        <f t="shared" si="33"/>
        <v>0</v>
      </c>
      <c r="H108" s="138">
        <f t="shared" si="32"/>
        <v>0</v>
      </c>
    </row>
    <row r="109" spans="1:8" ht="12.75" hidden="1" customHeight="1" outlineLevel="1" x14ac:dyDescent="0.2">
      <c r="A109" s="134" t="str">
        <f>"   "&amp;Labels!C212</f>
        <v xml:space="preserve">   Total</v>
      </c>
      <c r="B109" s="191">
        <f t="shared" ref="B109:G109" si="34">SUM(B103,B108)</f>
        <v>0</v>
      </c>
      <c r="C109" s="191">
        <f t="shared" si="34"/>
        <v>0</v>
      </c>
      <c r="D109" s="191">
        <f t="shared" si="34"/>
        <v>0</v>
      </c>
      <c r="E109" s="191">
        <f t="shared" si="34"/>
        <v>0</v>
      </c>
      <c r="F109" s="191">
        <f t="shared" si="34"/>
        <v>0</v>
      </c>
      <c r="G109" s="191">
        <f t="shared" si="34"/>
        <v>0</v>
      </c>
      <c r="H109" s="138">
        <f t="shared" si="32"/>
        <v>0</v>
      </c>
    </row>
    <row r="110" spans="1:8" ht="12.75" hidden="1" customHeight="1" outlineLevel="1" x14ac:dyDescent="0.2">
      <c r="A110" s="144" t="str">
        <f>"      "&amp;Labels!B222</f>
        <v xml:space="preserve">      Supplies</v>
      </c>
      <c r="B110" s="137">
        <f t="shared" ref="B110:G113" si="35">SUM(B100,B105)</f>
        <v>0</v>
      </c>
      <c r="C110" s="137">
        <f t="shared" si="35"/>
        <v>0</v>
      </c>
      <c r="D110" s="137">
        <f t="shared" si="35"/>
        <v>0</v>
      </c>
      <c r="E110" s="137">
        <f t="shared" si="35"/>
        <v>0</v>
      </c>
      <c r="F110" s="137">
        <f t="shared" si="35"/>
        <v>0</v>
      </c>
      <c r="G110" s="137">
        <f t="shared" si="35"/>
        <v>0</v>
      </c>
      <c r="H110" s="138">
        <f t="shared" si="32"/>
        <v>0</v>
      </c>
    </row>
    <row r="111" spans="1:8" ht="12.75" hidden="1" customHeight="1" outlineLevel="1" x14ac:dyDescent="0.2">
      <c r="A111" s="144" t="str">
        <f>"      "&amp;Labels!B223</f>
        <v xml:space="preserve">      Travel Entertainment</v>
      </c>
      <c r="B111" s="137">
        <f t="shared" si="35"/>
        <v>0</v>
      </c>
      <c r="C111" s="137">
        <f t="shared" si="35"/>
        <v>0</v>
      </c>
      <c r="D111" s="137">
        <f t="shared" si="35"/>
        <v>0</v>
      </c>
      <c r="E111" s="137">
        <f t="shared" si="35"/>
        <v>0</v>
      </c>
      <c r="F111" s="137">
        <f t="shared" si="35"/>
        <v>0</v>
      </c>
      <c r="G111" s="137">
        <f t="shared" si="35"/>
        <v>0</v>
      </c>
      <c r="H111" s="138">
        <f t="shared" si="32"/>
        <v>0</v>
      </c>
    </row>
    <row r="112" spans="1:8" ht="12.75" hidden="1" customHeight="1" outlineLevel="1" x14ac:dyDescent="0.2">
      <c r="A112" s="144" t="str">
        <f>"      "&amp;Labels!B224</f>
        <v xml:space="preserve">      Other</v>
      </c>
      <c r="B112" s="137">
        <f t="shared" si="35"/>
        <v>0</v>
      </c>
      <c r="C112" s="137">
        <f t="shared" si="35"/>
        <v>0</v>
      </c>
      <c r="D112" s="137">
        <f t="shared" si="35"/>
        <v>0</v>
      </c>
      <c r="E112" s="137">
        <f t="shared" si="35"/>
        <v>0</v>
      </c>
      <c r="F112" s="137">
        <f t="shared" si="35"/>
        <v>0</v>
      </c>
      <c r="G112" s="137">
        <f t="shared" si="35"/>
        <v>0</v>
      </c>
      <c r="H112" s="138">
        <f t="shared" si="32"/>
        <v>0</v>
      </c>
    </row>
    <row r="113" spans="1:8" ht="12.75" hidden="1" customHeight="1" outlineLevel="1" x14ac:dyDescent="0.2">
      <c r="A113" s="163" t="str">
        <f>"      "&amp;Labels!C221</f>
        <v xml:space="preserve">      Total</v>
      </c>
      <c r="B113" s="204">
        <f t="shared" si="35"/>
        <v>0</v>
      </c>
      <c r="C113" s="204">
        <f t="shared" si="35"/>
        <v>0</v>
      </c>
      <c r="D113" s="204">
        <f t="shared" si="35"/>
        <v>0</v>
      </c>
      <c r="E113" s="204">
        <f t="shared" si="35"/>
        <v>0</v>
      </c>
      <c r="F113" s="204">
        <f t="shared" si="35"/>
        <v>0</v>
      </c>
      <c r="G113" s="204">
        <f t="shared" si="35"/>
        <v>0</v>
      </c>
      <c r="H113" s="205">
        <f>SUM(B109:G109)</f>
        <v>0</v>
      </c>
    </row>
    <row r="114" spans="1:8" ht="12.75" hidden="1" customHeight="1" outlineLevel="1" collapsed="1" x14ac:dyDescent="0.2"/>
    <row r="115" spans="1:8" ht="12.75" customHeight="1" collapsed="1" x14ac:dyDescent="0.2"/>
  </sheetData>
  <mergeCells count="10">
    <mergeCell ref="A20:B20"/>
    <mergeCell ref="A21:B21"/>
    <mergeCell ref="A37:B37"/>
    <mergeCell ref="A38:B38"/>
    <mergeCell ref="A1:D1"/>
    <mergeCell ref="A2:D2"/>
    <mergeCell ref="A3:D3"/>
    <mergeCell ref="A4:D4"/>
    <mergeCell ref="A5:C5"/>
    <mergeCell ref="A6:C6"/>
  </mergeCells>
  <pageMargins left="0.25" right="0.25" top="0.5" bottom="0.5" header="0.5" footer="0.5"/>
  <pageSetup paperSize="9" fitToHeight="32767" orientation="landscape"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H25"/>
  <sheetViews>
    <sheetView zoomScaleNormal="100" workbookViewId="0"/>
  </sheetViews>
  <sheetFormatPr defaultRowHeight="12.75" customHeight="1" x14ac:dyDescent="0.2"/>
  <cols>
    <col min="1" max="1" width="17.7109375" customWidth="1"/>
    <col min="2" max="2" width="8.5703125" customWidth="1"/>
    <col min="3" max="3" width="8.7109375" customWidth="1"/>
    <col min="4" max="5" width="8.5703125" customWidth="1"/>
    <col min="6" max="6" width="8.85546875" customWidth="1"/>
    <col min="7" max="7" width="8.7109375" customWidth="1"/>
    <col min="8" max="8" width="5.5703125" customWidth="1"/>
  </cols>
  <sheetData>
    <row r="1" spans="1:8" ht="12.75" customHeight="1" x14ac:dyDescent="0.2">
      <c r="A1" s="320" t="str">
        <f>Inputs!D7</f>
        <v>ABC Corp.</v>
      </c>
      <c r="B1" s="320"/>
      <c r="C1" s="320"/>
      <c r="D1" s="320"/>
    </row>
    <row r="2" spans="1:8" ht="12.75" customHeight="1" x14ac:dyDescent="0.2">
      <c r="A2" s="320" t="e">
        <f>TEXT('(FnCalls 1)'!A41,"m/d/yyyy")&amp;" to "&amp;TEXT('(FnCalls 1)'!A47-1,"m/d/yyyy")&amp;", Scenario "&amp;1</f>
        <v>#VALUE!</v>
      </c>
      <c r="B2" s="320"/>
      <c r="C2" s="320"/>
      <c r="D2" s="320"/>
    </row>
    <row r="3" spans="1:8" ht="12.75" customHeight="1" x14ac:dyDescent="0.2">
      <c r="A3" s="320" t="str">
        <f>"Financial Expense and Income Tax"</f>
        <v>Financial Expense and Income Tax</v>
      </c>
      <c r="B3" s="320"/>
      <c r="C3" s="320"/>
      <c r="D3" s="320"/>
    </row>
    <row r="4" spans="1:8" ht="12.75" customHeight="1" x14ac:dyDescent="0.2">
      <c r="A4" s="320" t="str">
        <f>""</f>
        <v/>
      </c>
      <c r="B4" s="320"/>
      <c r="C4" s="320"/>
      <c r="D4" s="320"/>
    </row>
    <row r="5" spans="1:8" ht="12.75" customHeight="1" x14ac:dyDescent="0.2">
      <c r="A5" s="322" t="str">
        <f>"Financial Expense"</f>
        <v>Financial Expense</v>
      </c>
      <c r="B5" s="322"/>
    </row>
    <row r="6" spans="1:8" ht="12.75" customHeight="1" x14ac:dyDescent="0.2">
      <c r="A6" s="1" t="str">
        <f>" "</f>
        <v xml:space="preserve"> </v>
      </c>
    </row>
    <row r="7" spans="1:8" ht="12.75" customHeight="1" x14ac:dyDescent="0.2">
      <c r="B7" s="10" t="str">
        <f>'(FnCalls 1)'!F41</f>
        <v>MMM 2011</v>
      </c>
      <c r="C7" s="11" t="str">
        <f>'(FnCalls 1)'!F42</f>
        <v>MMM 2011</v>
      </c>
      <c r="D7" s="11" t="str">
        <f>'(FnCalls 1)'!F43</f>
        <v>MMM 2011</v>
      </c>
      <c r="E7" s="11" t="str">
        <f>'(FnCalls 1)'!F44</f>
        <v>MMM 2011</v>
      </c>
      <c r="F7" s="11" t="str">
        <f>'(FnCalls 1)'!F45</f>
        <v>MMM 2011</v>
      </c>
      <c r="G7" s="11" t="str">
        <f>'(FnCalls 1)'!F46</f>
        <v>MMM 2011</v>
      </c>
      <c r="H7" s="94" t="str">
        <f>'(FnCalls 1)'!H41</f>
        <v>2011</v>
      </c>
    </row>
    <row r="8" spans="1:8" ht="12.75" customHeight="1" x14ac:dyDescent="0.2">
      <c r="A8" s="91" t="str">
        <f>Labels!B70</f>
        <v>Financial Exp</v>
      </c>
      <c r="B8" s="139">
        <f>IncStmt!B18</f>
        <v>0</v>
      </c>
      <c r="C8" s="139">
        <f>IncStmt!C18</f>
        <v>0</v>
      </c>
      <c r="D8" s="139">
        <f>IncStmt!D18</f>
        <v>0</v>
      </c>
      <c r="E8" s="139">
        <f>IncStmt!E18</f>
        <v>0</v>
      </c>
      <c r="F8" s="139">
        <f>IncStmt!F18</f>
        <v>0</v>
      </c>
      <c r="G8" s="139">
        <f>IncStmt!G18</f>
        <v>0</v>
      </c>
      <c r="H8" s="140">
        <f>SUM(B8:G8)</f>
        <v>0</v>
      </c>
    </row>
    <row r="10" spans="1:8" ht="12.75" customHeight="1" x14ac:dyDescent="0.2">
      <c r="A10" s="128" t="str">
        <f>Labels!B15</f>
        <v>Bad Debt Expense</v>
      </c>
      <c r="B10" s="129">
        <f>B11*Assets!C12</f>
        <v>0</v>
      </c>
      <c r="C10" s="129">
        <f>C11*Assets!D12</f>
        <v>0</v>
      </c>
      <c r="D10" s="129">
        <f>D11*Assets!E12</f>
        <v>0</v>
      </c>
      <c r="E10" s="129">
        <f>E11*Assets!F12</f>
        <v>0</v>
      </c>
      <c r="F10" s="129">
        <f>F11*Assets!G12</f>
        <v>0</v>
      </c>
      <c r="G10" s="129">
        <f>G11*Assets!H12</f>
        <v>0</v>
      </c>
      <c r="H10" s="130">
        <f>SUM(B10:G10)</f>
        <v>0</v>
      </c>
    </row>
    <row r="11" spans="1:8" ht="12.75" customHeight="1" x14ac:dyDescent="0.2">
      <c r="A11" s="131" t="str">
        <f>Labels!B16</f>
        <v>Bad Debt %</v>
      </c>
      <c r="B11" s="132">
        <f>Inputs!D140</f>
        <v>0</v>
      </c>
      <c r="C11" s="132">
        <f>Inputs!E140</f>
        <v>0</v>
      </c>
      <c r="D11" s="132">
        <f>Inputs!F140</f>
        <v>0</v>
      </c>
      <c r="E11" s="132">
        <f>Inputs!G140</f>
        <v>0</v>
      </c>
      <c r="F11" s="132">
        <f>Inputs!H140</f>
        <v>0</v>
      </c>
      <c r="G11" s="132">
        <f>Inputs!I140</f>
        <v>0</v>
      </c>
      <c r="H11" s="133">
        <f>AVERAGE(B11:G11)</f>
        <v>0</v>
      </c>
    </row>
    <row r="13" spans="1:8" ht="12.75" customHeight="1" x14ac:dyDescent="0.2">
      <c r="A13" s="128" t="str">
        <f>Labels!B81</f>
        <v>Net Interest Expense</v>
      </c>
      <c r="B13" s="129">
        <f>Inputs!D211*(1+B14)^(1/12)+Inputs!D211*(-1)+Inputs!E218*(1+B15)^(1/12)+Inputs!E218*(-1)+0-((1+B16)^(1/12)-1)*CFStmt!B6</f>
        <v>0</v>
      </c>
      <c r="C13" s="129">
        <f>Inputs!E211*(1+C14)^(1/12)+Inputs!E211*(-1)+Inputs!F218*(1+C15)^(1/12)+Inputs!F218*(-1)+0-((1+C16)^(1/12)-1)*CFStmt!C6</f>
        <v>0</v>
      </c>
      <c r="D13" s="129">
        <f>Inputs!F211*(1+D14)^(1/12)+Inputs!F211*(-1)+Inputs!G218*(1+D15)^(1/12)+Inputs!G218*(-1)+0-((1+D16)^(1/12)-1)*CFStmt!D6</f>
        <v>0</v>
      </c>
      <c r="E13" s="129">
        <f>Inputs!G211*(1+E14)^(1/12)+Inputs!G211*(-1)+Inputs!H218*(1+E15)^(1/12)+Inputs!H218*(-1)+0-((1+E16)^(1/12)-1)*CFStmt!E6</f>
        <v>0</v>
      </c>
      <c r="F13" s="129">
        <f>Inputs!H211*(1+F14)^(1/12)+Inputs!H211*(-1)+Inputs!I218*(1+F15)^(1/12)+Inputs!I218*(-1)+0-((1+F16)^(1/12)-1)*CFStmt!F6</f>
        <v>0</v>
      </c>
      <c r="G13" s="129">
        <f>Inputs!I211*(1+G14)^(1/12)+Inputs!I211*(-1)+Inputs!J218*(1+G15)^(1/12)+Inputs!J218*(-1)+0-((1+G16)^(1/12)-1)*CFStmt!G6</f>
        <v>0</v>
      </c>
      <c r="H13" s="130">
        <f>SUM(B13:G13)</f>
        <v>0</v>
      </c>
    </row>
    <row r="14" spans="1:8" ht="12.75" customHeight="1" x14ac:dyDescent="0.2">
      <c r="A14" s="134" t="str">
        <f>Labels!B84</f>
        <v>Short Interest %/Yr</v>
      </c>
      <c r="B14" s="152">
        <f>Inputs!D137</f>
        <v>0</v>
      </c>
      <c r="C14" s="152">
        <f>Inputs!E137</f>
        <v>0</v>
      </c>
      <c r="D14" s="152">
        <f>Inputs!F137</f>
        <v>0</v>
      </c>
      <c r="E14" s="152">
        <f>Inputs!G137</f>
        <v>0</v>
      </c>
      <c r="F14" s="152">
        <f>Inputs!H137</f>
        <v>0</v>
      </c>
      <c r="G14" s="152">
        <f>Inputs!I137</f>
        <v>0</v>
      </c>
      <c r="H14" s="153">
        <f>AVERAGE(B14:G14)</f>
        <v>0</v>
      </c>
    </row>
    <row r="15" spans="1:8" ht="12.75" customHeight="1" x14ac:dyDescent="0.2">
      <c r="A15" s="134" t="str">
        <f>Labels!B83</f>
        <v>Long Interest %/Yr</v>
      </c>
      <c r="B15" s="152">
        <f>Inputs!D138</f>
        <v>0</v>
      </c>
      <c r="C15" s="152">
        <f>Inputs!E138</f>
        <v>0</v>
      </c>
      <c r="D15" s="152">
        <f>Inputs!F138</f>
        <v>0</v>
      </c>
      <c r="E15" s="152">
        <f>Inputs!G138</f>
        <v>0</v>
      </c>
      <c r="F15" s="152">
        <f>Inputs!H138</f>
        <v>0</v>
      </c>
      <c r="G15" s="152">
        <f>Inputs!I138</f>
        <v>0</v>
      </c>
      <c r="H15" s="153">
        <f>AVERAGE(B15:G15)</f>
        <v>0</v>
      </c>
    </row>
    <row r="16" spans="1:8" ht="12.75" customHeight="1" x14ac:dyDescent="0.2">
      <c r="A16" s="131" t="str">
        <f>Labels!B82</f>
        <v>Interest Earned %/Yr</v>
      </c>
      <c r="B16" s="132">
        <f>Inputs!D139</f>
        <v>0</v>
      </c>
      <c r="C16" s="132">
        <f>Inputs!E139</f>
        <v>0</v>
      </c>
      <c r="D16" s="132">
        <f>Inputs!F139</f>
        <v>0</v>
      </c>
      <c r="E16" s="132">
        <f>Inputs!G139</f>
        <v>0</v>
      </c>
      <c r="F16" s="132">
        <f>Inputs!H139</f>
        <v>0</v>
      </c>
      <c r="G16" s="132">
        <f>Inputs!I139</f>
        <v>0</v>
      </c>
      <c r="H16" s="133">
        <f>AVERAGE(B16:G16)</f>
        <v>0</v>
      </c>
    </row>
    <row r="19" spans="1:8" ht="12.75" customHeight="1" x14ac:dyDescent="0.2">
      <c r="A19" s="2" t="str">
        <f>"Income Tax"</f>
        <v>Income Tax</v>
      </c>
    </row>
    <row r="20" spans="1:8" ht="12.75" customHeight="1" x14ac:dyDescent="0.2">
      <c r="A20" s="1" t="str">
        <f>" "</f>
        <v xml:space="preserve"> </v>
      </c>
    </row>
    <row r="21" spans="1:8" ht="12.75" customHeight="1" x14ac:dyDescent="0.2">
      <c r="B21" s="10" t="str">
        <f>'(FnCalls 1)'!F41</f>
        <v>MMM 2011</v>
      </c>
      <c r="C21" s="11" t="str">
        <f>'(FnCalls 1)'!F42</f>
        <v>MMM 2011</v>
      </c>
      <c r="D21" s="11" t="str">
        <f>'(FnCalls 1)'!F43</f>
        <v>MMM 2011</v>
      </c>
      <c r="E21" s="11" t="str">
        <f>'(FnCalls 1)'!F44</f>
        <v>MMM 2011</v>
      </c>
      <c r="F21" s="11" t="str">
        <f>'(FnCalls 1)'!F45</f>
        <v>MMM 2011</v>
      </c>
      <c r="G21" s="11" t="str">
        <f>'(FnCalls 1)'!F46</f>
        <v>MMM 2011</v>
      </c>
      <c r="H21" s="94" t="str">
        <f>'(FnCalls 1)'!H41</f>
        <v>2011</v>
      </c>
    </row>
    <row r="22" spans="1:8" ht="12.75" customHeight="1" x14ac:dyDescent="0.2">
      <c r="A22" s="128" t="str">
        <f>Labels!B166</f>
        <v>Taxable Income</v>
      </c>
      <c r="B22" s="129">
        <f>MAX(0,IncStmt!B15-IncStmt!B19-B8-'(Tables)'!B297)</f>
        <v>0</v>
      </c>
      <c r="C22" s="129">
        <f>MAX(0,IncStmt!C15-IncStmt!C19-C8-B25)</f>
        <v>0</v>
      </c>
      <c r="D22" s="129">
        <f>MAX(0,IncStmt!D15-IncStmt!D19-D8-C25)</f>
        <v>0</v>
      </c>
      <c r="E22" s="129">
        <f>MAX(0,IncStmt!E15-IncStmt!E19-E8-D25)</f>
        <v>0</v>
      </c>
      <c r="F22" s="129">
        <f>MAX(0,IncStmt!F15-IncStmt!F19-F8-E25)</f>
        <v>0</v>
      </c>
      <c r="G22" s="129">
        <f>MAX(0,IncStmt!G15-IncStmt!G19-G8-F25)</f>
        <v>0</v>
      </c>
      <c r="H22" s="130">
        <f>SUM(B22:G22)</f>
        <v>0</v>
      </c>
    </row>
    <row r="23" spans="1:8" ht="12.75" customHeight="1" x14ac:dyDescent="0.2">
      <c r="A23" s="134" t="str">
        <f>Labels!B78</f>
        <v>Income Tax</v>
      </c>
      <c r="B23" s="135">
        <f>IncStmt!B20</f>
        <v>0</v>
      </c>
      <c r="C23" s="135">
        <f>IncStmt!C20</f>
        <v>0</v>
      </c>
      <c r="D23" s="135">
        <f>IncStmt!D20</f>
        <v>0</v>
      </c>
      <c r="E23" s="135">
        <f>IncStmt!E20</f>
        <v>0</v>
      </c>
      <c r="F23" s="135">
        <f>IncStmt!F20</f>
        <v>0</v>
      </c>
      <c r="G23" s="135">
        <f>IncStmt!G20</f>
        <v>0</v>
      </c>
      <c r="H23" s="136">
        <f>SUM(B23:G23)</f>
        <v>0</v>
      </c>
    </row>
    <row r="24" spans="1:8" ht="12.75" customHeight="1" x14ac:dyDescent="0.2">
      <c r="A24" s="134" t="str">
        <f>Labels!B79</f>
        <v>Income Tax Rate</v>
      </c>
      <c r="B24" s="152">
        <f>Inputs!D144</f>
        <v>0</v>
      </c>
      <c r="C24" s="152">
        <f>Inputs!E144</f>
        <v>0</v>
      </c>
      <c r="D24" s="152">
        <f>Inputs!F144</f>
        <v>0</v>
      </c>
      <c r="E24" s="152">
        <f>Inputs!G144</f>
        <v>0</v>
      </c>
      <c r="F24" s="152">
        <f>Inputs!H144</f>
        <v>0</v>
      </c>
      <c r="G24" s="152">
        <f>Inputs!I144</f>
        <v>0</v>
      </c>
      <c r="H24" s="153">
        <f>AVERAGE(B24:G24)</f>
        <v>0</v>
      </c>
    </row>
    <row r="25" spans="1:8" ht="12.75" customHeight="1" x14ac:dyDescent="0.2">
      <c r="A25" s="131" t="str">
        <f>Labels!B100</f>
        <v>Loss Carry Forward</v>
      </c>
      <c r="B25" s="160">
        <f>'(Tables)'!B297-(IncStmt!B15-IncStmt!B19-B8)+B22</f>
        <v>0</v>
      </c>
      <c r="C25" s="160">
        <f>B25-(IncStmt!C15-IncStmt!C19-C8)+C22</f>
        <v>0</v>
      </c>
      <c r="D25" s="160">
        <f>C25-(IncStmt!D15-IncStmt!D19-D8)+D22</f>
        <v>0</v>
      </c>
      <c r="E25" s="160">
        <f>D25-(IncStmt!E15-IncStmt!E19-E8)+E22</f>
        <v>0</v>
      </c>
      <c r="F25" s="160">
        <f>E25-(IncStmt!F15-IncStmt!F19-F8)+F22</f>
        <v>0</v>
      </c>
      <c r="G25" s="160">
        <f>F25-(IncStmt!G15-IncStmt!G19-G8)+G22</f>
        <v>0</v>
      </c>
      <c r="H25" s="146">
        <f>G25</f>
        <v>0</v>
      </c>
    </row>
  </sheetData>
  <mergeCells count="5">
    <mergeCell ref="A1:D1"/>
    <mergeCell ref="A2:D2"/>
    <mergeCell ref="A3:D3"/>
    <mergeCell ref="A4:D4"/>
    <mergeCell ref="A5:B5"/>
  </mergeCells>
  <pageMargins left="0.25" right="0.25" top="0.5" bottom="0.5" header="0.5" footer="0.5"/>
  <pageSetup paperSize="9" fitToHeight="32767" orientation="landscape"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I66"/>
  <sheetViews>
    <sheetView zoomScaleNormal="100" workbookViewId="0"/>
  </sheetViews>
  <sheetFormatPr defaultRowHeight="12.75" customHeight="1" outlineLevelRow="1" x14ac:dyDescent="0.2"/>
  <cols>
    <col min="1" max="1" width="22.140625" customWidth="1"/>
    <col min="2" max="2" width="11" customWidth="1"/>
    <col min="3" max="3" width="10.28515625" customWidth="1"/>
    <col min="4" max="4" width="11.5703125" customWidth="1"/>
    <col min="5" max="5" width="12" customWidth="1"/>
    <col min="6" max="6" width="10.7109375" customWidth="1"/>
    <col min="7" max="7" width="12.42578125" customWidth="1"/>
    <col min="8" max="8" width="8.7109375" customWidth="1"/>
    <col min="9" max="9" width="5.42578125" customWidth="1"/>
  </cols>
  <sheetData>
    <row r="1" spans="1:9" ht="12.75" customHeight="1" x14ac:dyDescent="0.2">
      <c r="A1" s="320" t="str">
        <f>Inputs!D7</f>
        <v>ABC Corp.</v>
      </c>
      <c r="B1" s="320"/>
      <c r="C1" s="320"/>
      <c r="D1" s="320"/>
    </row>
    <row r="2" spans="1:9" ht="12.75" customHeight="1" x14ac:dyDescent="0.2">
      <c r="A2" s="320" t="e">
        <f>TEXT('(FnCalls 1)'!A41,"m/d/yyyy")&amp;" to "&amp;TEXT('(FnCalls 1)'!A47-1,"m/d/yyyy")&amp;", Scenario "&amp;1</f>
        <v>#VALUE!</v>
      </c>
      <c r="B2" s="320"/>
      <c r="C2" s="320"/>
      <c r="D2" s="320"/>
    </row>
    <row r="3" spans="1:9" ht="12.75" customHeight="1" x14ac:dyDescent="0.2">
      <c r="A3" s="320" t="str">
        <f>"Asset Detail"</f>
        <v>Asset Detail</v>
      </c>
      <c r="B3" s="320"/>
      <c r="C3" s="320"/>
      <c r="D3" s="320"/>
    </row>
    <row r="4" spans="1:9" ht="12.75" customHeight="1" x14ac:dyDescent="0.2">
      <c r="A4" s="320" t="str">
        <f>""</f>
        <v/>
      </c>
      <c r="B4" s="320"/>
      <c r="C4" s="320"/>
      <c r="D4" s="320"/>
    </row>
    <row r="5" spans="1:9" ht="12.75" customHeight="1" x14ac:dyDescent="0.2">
      <c r="A5" s="322" t="str">
        <f>"Short Term Assets"</f>
        <v>Short Term Assets</v>
      </c>
      <c r="B5" s="322"/>
    </row>
    <row r="6" spans="1:9" ht="12.75" customHeight="1" x14ac:dyDescent="0.2">
      <c r="A6" s="1" t="str">
        <f>""</f>
        <v/>
      </c>
    </row>
    <row r="7" spans="1:9" ht="12.75" customHeight="1" x14ac:dyDescent="0.2">
      <c r="B7" s="10" t="str">
        <f>'(FnCalls 1)'!H29</f>
        <v>2010</v>
      </c>
      <c r="C7" s="11" t="str">
        <f>'(FnCalls 1)'!F41</f>
        <v>MMM 2011</v>
      </c>
      <c r="D7" s="11" t="str">
        <f>'(FnCalls 1)'!F42</f>
        <v>MMM 2011</v>
      </c>
      <c r="E7" s="11" t="str">
        <f>'(FnCalls 1)'!F43</f>
        <v>MMM 2011</v>
      </c>
      <c r="F7" s="11" t="str">
        <f>'(FnCalls 1)'!F44</f>
        <v>MMM 2011</v>
      </c>
      <c r="G7" s="11" t="str">
        <f>'(FnCalls 1)'!F45</f>
        <v>MMM 2011</v>
      </c>
      <c r="H7" s="11" t="str">
        <f>'(FnCalls 1)'!F46</f>
        <v>MMM 2011</v>
      </c>
      <c r="I7" s="94" t="str">
        <f>'(FnCalls 1)'!H41</f>
        <v>2011</v>
      </c>
    </row>
    <row r="8" spans="1:9" ht="12.75" customHeight="1" x14ac:dyDescent="0.2">
      <c r="A8" s="128" t="str">
        <f>Labels!B27</f>
        <v>Starting Cash</v>
      </c>
      <c r="B8" s="141"/>
      <c r="C8" s="141">
        <f>CFStmt!B6</f>
        <v>0</v>
      </c>
      <c r="D8" s="141">
        <f>CFStmt!C6</f>
        <v>0</v>
      </c>
      <c r="E8" s="141">
        <f>CFStmt!D6</f>
        <v>0</v>
      </c>
      <c r="F8" s="141">
        <f>CFStmt!E6</f>
        <v>0</v>
      </c>
      <c r="G8" s="141">
        <f>CFStmt!F6</f>
        <v>0</v>
      </c>
      <c r="H8" s="141">
        <f>CFStmt!G6</f>
        <v>0</v>
      </c>
      <c r="I8" s="130">
        <f>CFStmt!B6</f>
        <v>0</v>
      </c>
    </row>
    <row r="9" spans="1:9" ht="12.75" customHeight="1" x14ac:dyDescent="0.2">
      <c r="A9" s="134" t="str">
        <f>Labels!B18</f>
        <v>Ending Cash</v>
      </c>
      <c r="B9" s="145">
        <f>'(Tables)'!B247</f>
        <v>0</v>
      </c>
      <c r="C9" s="145">
        <f>CFStmt!B27</f>
        <v>0</v>
      </c>
      <c r="D9" s="145">
        <f>CFStmt!C27</f>
        <v>0</v>
      </c>
      <c r="E9" s="145">
        <f>CFStmt!D27</f>
        <v>0</v>
      </c>
      <c r="F9" s="145">
        <f>CFStmt!E27</f>
        <v>0</v>
      </c>
      <c r="G9" s="145">
        <f>CFStmt!F27</f>
        <v>0</v>
      </c>
      <c r="H9" s="145">
        <f>CFStmt!G27</f>
        <v>0</v>
      </c>
      <c r="I9" s="136">
        <f>CFStmt!G27</f>
        <v>0</v>
      </c>
    </row>
    <row r="10" spans="1:9" ht="12.75" customHeight="1" x14ac:dyDescent="0.2">
      <c r="A10" s="131" t="str">
        <f>Labels!B28</f>
        <v>Cash Target Days</v>
      </c>
      <c r="B10" s="177"/>
      <c r="C10" s="177">
        <f>Inputs!D157</f>
        <v>30</v>
      </c>
      <c r="D10" s="177">
        <f>Inputs!E157</f>
        <v>30</v>
      </c>
      <c r="E10" s="177">
        <f>Inputs!F157</f>
        <v>30</v>
      </c>
      <c r="F10" s="177">
        <f>Inputs!G157</f>
        <v>30</v>
      </c>
      <c r="G10" s="177">
        <f>Inputs!H157</f>
        <v>30</v>
      </c>
      <c r="H10" s="177">
        <f>Inputs!I157</f>
        <v>30</v>
      </c>
      <c r="I10" s="176">
        <f>Inputs!I157</f>
        <v>30</v>
      </c>
    </row>
    <row r="12" spans="1:9" ht="12.75" customHeight="1" x14ac:dyDescent="0.2">
      <c r="A12" s="128" t="str">
        <f>Labels!B12</f>
        <v>Accounts Receivable</v>
      </c>
      <c r="B12" s="141">
        <f>'(Tables)'!B256</f>
        <v>0</v>
      </c>
      <c r="C12" s="141">
        <f>'(Compute)'!C132+'(Compute)'!C146+'(Compute)'!C154</f>
        <v>0</v>
      </c>
      <c r="D12" s="141">
        <f>'(Compute)'!D132+'(Compute)'!D146+'(Compute)'!D154</f>
        <v>0</v>
      </c>
      <c r="E12" s="141">
        <f>'(Compute)'!E132+'(Compute)'!E146+'(Compute)'!E154</f>
        <v>0</v>
      </c>
      <c r="F12" s="141">
        <f>'(Compute)'!F132+'(Compute)'!F146+'(Compute)'!F154</f>
        <v>0</v>
      </c>
      <c r="G12" s="141">
        <f>'(Compute)'!G132+'(Compute)'!G146+'(Compute)'!G154</f>
        <v>0</v>
      </c>
      <c r="H12" s="141">
        <f>'(Compute)'!H132+'(Compute)'!H146+'(Compute)'!H154</f>
        <v>0</v>
      </c>
      <c r="I12" s="130">
        <f>H12</f>
        <v>0</v>
      </c>
    </row>
    <row r="13" spans="1:9" ht="12.75" customHeight="1" x14ac:dyDescent="0.2">
      <c r="A13" s="131" t="str">
        <f>Labels!B10</f>
        <v>AR Days - Products</v>
      </c>
      <c r="B13" s="206"/>
      <c r="C13" s="206">
        <f>Inputs!D180</f>
        <v>60</v>
      </c>
      <c r="D13" s="206">
        <f>Inputs!E180</f>
        <v>60</v>
      </c>
      <c r="E13" s="206">
        <f>Inputs!F180</f>
        <v>60</v>
      </c>
      <c r="F13" s="206">
        <f>Inputs!G180</f>
        <v>60</v>
      </c>
      <c r="G13" s="206">
        <f>Inputs!H180</f>
        <v>60</v>
      </c>
      <c r="H13" s="206">
        <f>Inputs!I180</f>
        <v>60</v>
      </c>
      <c r="I13" s="207">
        <f>Inputs!I180</f>
        <v>60</v>
      </c>
    </row>
    <row r="15" spans="1:9" ht="12.75" customHeight="1" x14ac:dyDescent="0.2">
      <c r="A15" s="128" t="str">
        <f>Labels!B91</f>
        <v>Raw Matl Inventory</v>
      </c>
      <c r="B15" s="141">
        <f>'(Tables)'!B347</f>
        <v>0</v>
      </c>
      <c r="C15" s="141">
        <f>'(Tables)'!C350*Inputs!E54</f>
        <v>0</v>
      </c>
      <c r="D15" s="141">
        <f>'(Tables)'!D350*Inputs!F54</f>
        <v>0</v>
      </c>
      <c r="E15" s="141">
        <f>'(Tables)'!E350*Inputs!G54</f>
        <v>0</v>
      </c>
      <c r="F15" s="141">
        <f>'(Tables)'!F350*Inputs!H54</f>
        <v>0</v>
      </c>
      <c r="G15" s="141">
        <f>'(Tables)'!G350*Inputs!I54</f>
        <v>0</v>
      </c>
      <c r="H15" s="141">
        <f>'(Tables)'!H350*Inputs!J54</f>
        <v>0</v>
      </c>
      <c r="I15" s="130">
        <f>H15</f>
        <v>0</v>
      </c>
    </row>
    <row r="16" spans="1:9" ht="12.75" customHeight="1" x14ac:dyDescent="0.2">
      <c r="A16" s="131" t="str">
        <f>Labels!B85</f>
        <v>Finished Inventory Value</v>
      </c>
      <c r="B16" s="127">
        <f>SUM('(Tables)'!B342:B343)</f>
        <v>0</v>
      </c>
      <c r="C16" s="127">
        <f t="shared" ref="C16:H16" si="0">SUM(C23,C27)</f>
        <v>0</v>
      </c>
      <c r="D16" s="127">
        <f t="shared" si="0"/>
        <v>0</v>
      </c>
      <c r="E16" s="127">
        <f t="shared" si="0"/>
        <v>0</v>
      </c>
      <c r="F16" s="127">
        <f t="shared" si="0"/>
        <v>0</v>
      </c>
      <c r="G16" s="127">
        <f t="shared" si="0"/>
        <v>0</v>
      </c>
      <c r="H16" s="127">
        <f t="shared" si="0"/>
        <v>0</v>
      </c>
      <c r="I16" s="146">
        <f>SUM(H23,H27)</f>
        <v>0</v>
      </c>
    </row>
    <row r="18" spans="1:9" ht="12.75" customHeight="1" x14ac:dyDescent="0.2">
      <c r="A18" s="3" t="str">
        <f>"Inventory Detail"</f>
        <v>Inventory Detail</v>
      </c>
    </row>
    <row r="19" spans="1:9" ht="12.75" hidden="1" customHeight="1" outlineLevel="1" x14ac:dyDescent="0.2">
      <c r="B19" s="10" t="str">
        <f>'(FnCalls 1)'!H29</f>
        <v>2010</v>
      </c>
      <c r="C19" s="11" t="str">
        <f>'(FnCalls 1)'!F41</f>
        <v>MMM 2011</v>
      </c>
      <c r="D19" s="11" t="str">
        <f>'(FnCalls 1)'!F42</f>
        <v>MMM 2011</v>
      </c>
      <c r="E19" s="11" t="str">
        <f>'(FnCalls 1)'!F43</f>
        <v>MMM 2011</v>
      </c>
      <c r="F19" s="11" t="str">
        <f>'(FnCalls 1)'!F44</f>
        <v>MMM 2011</v>
      </c>
      <c r="G19" s="11" t="str">
        <f>'(FnCalls 1)'!F45</f>
        <v>MMM 2011</v>
      </c>
      <c r="H19" s="11" t="str">
        <f>'(FnCalls 1)'!F46</f>
        <v>MMM 2011</v>
      </c>
      <c r="I19" s="94" t="str">
        <f>'(FnCalls 1)'!H41</f>
        <v>2011</v>
      </c>
    </row>
    <row r="20" spans="1:9" ht="12.75" hidden="1" customHeight="1" outlineLevel="1" x14ac:dyDescent="0.2">
      <c r="A20" s="91" t="str">
        <f>Labels!B91</f>
        <v>Raw Matl Inventory</v>
      </c>
      <c r="B20" s="149">
        <f>'(Tables)'!B347</f>
        <v>0</v>
      </c>
      <c r="C20" s="149">
        <f t="shared" ref="C20:H20" si="1">C15</f>
        <v>0</v>
      </c>
      <c r="D20" s="149">
        <f t="shared" si="1"/>
        <v>0</v>
      </c>
      <c r="E20" s="149">
        <f t="shared" si="1"/>
        <v>0</v>
      </c>
      <c r="F20" s="149">
        <f t="shared" si="1"/>
        <v>0</v>
      </c>
      <c r="G20" s="149">
        <f t="shared" si="1"/>
        <v>0</v>
      </c>
      <c r="H20" s="149">
        <f t="shared" si="1"/>
        <v>0</v>
      </c>
      <c r="I20" s="140">
        <f>H15</f>
        <v>0</v>
      </c>
    </row>
    <row r="21" spans="1:9" ht="12.75" hidden="1" customHeight="1" outlineLevel="1" x14ac:dyDescent="0.2"/>
    <row r="22" spans="1:9" ht="12.75" hidden="1" customHeight="1" outlineLevel="1" x14ac:dyDescent="0.2">
      <c r="A22" s="128" t="str">
        <f>Labels!B255</f>
        <v>Product 1</v>
      </c>
      <c r="B22" s="63"/>
      <c r="C22" s="63"/>
      <c r="D22" s="63"/>
      <c r="E22" s="63"/>
      <c r="F22" s="63"/>
      <c r="G22" s="63"/>
      <c r="H22" s="63"/>
      <c r="I22" s="128"/>
    </row>
    <row r="23" spans="1:9" ht="12.75" hidden="1" customHeight="1" outlineLevel="1" x14ac:dyDescent="0.2">
      <c r="A23" s="142" t="str">
        <f>"   "&amp;Labels!B85</f>
        <v xml:space="preserve">   Finished Inventory Value</v>
      </c>
      <c r="B23" s="135">
        <f>'(Tables)'!B342</f>
        <v>0</v>
      </c>
      <c r="C23" s="135">
        <f>'(Tables)'!B342+'Cogs GM'!B118-'(Tables)'!B82</f>
        <v>0</v>
      </c>
      <c r="D23" s="135">
        <f>C23+'Cogs GM'!C118-'(Tables)'!C82</f>
        <v>0</v>
      </c>
      <c r="E23" s="135">
        <f>D23+'Cogs GM'!D118-'(Tables)'!D82</f>
        <v>0</v>
      </c>
      <c r="F23" s="135">
        <f>E23+'Cogs GM'!E118-'(Tables)'!E82</f>
        <v>0</v>
      </c>
      <c r="G23" s="135">
        <f>F23+'Cogs GM'!F118-'(Tables)'!F82</f>
        <v>0</v>
      </c>
      <c r="H23" s="135">
        <f>G23+'Cogs GM'!G118-'(Tables)'!G82</f>
        <v>0</v>
      </c>
      <c r="I23" s="136">
        <f>H23</f>
        <v>0</v>
      </c>
    </row>
    <row r="24" spans="1:9" ht="12.75" hidden="1" customHeight="1" outlineLevel="1" x14ac:dyDescent="0.2">
      <c r="A24" s="142" t="str">
        <f>"   "&amp;Labels!B89</f>
        <v xml:space="preserve">   Finished Inventory (U)</v>
      </c>
      <c r="B24" s="173">
        <f>'(Tables)'!B143</f>
        <v>0</v>
      </c>
      <c r="C24" s="173">
        <f>'(Tables)'!B143+C25-Sales!B67</f>
        <v>0</v>
      </c>
      <c r="D24" s="173">
        <f>C24+D25-Sales!C67</f>
        <v>0</v>
      </c>
      <c r="E24" s="173">
        <f>D24+E25-Sales!D67</f>
        <v>0</v>
      </c>
      <c r="F24" s="173">
        <f>E24+F25-Sales!E67</f>
        <v>0</v>
      </c>
      <c r="G24" s="173">
        <f>F24+G25-Sales!F67</f>
        <v>0</v>
      </c>
      <c r="H24" s="173">
        <f>G24+H25-Sales!G67</f>
        <v>0</v>
      </c>
      <c r="I24" s="172">
        <f>H24</f>
        <v>0</v>
      </c>
    </row>
    <row r="25" spans="1:9" ht="12.75" hidden="1" customHeight="1" outlineLevel="1" x14ac:dyDescent="0.2">
      <c r="A25" s="142" t="str">
        <f>"   "&amp;Labels!B119</f>
        <v xml:space="preserve">   Production Units</v>
      </c>
      <c r="B25" s="173"/>
      <c r="C25" s="173">
        <f>'Cogs GM'!B109</f>
        <v>0</v>
      </c>
      <c r="D25" s="173">
        <f>'Cogs GM'!C109</f>
        <v>0</v>
      </c>
      <c r="E25" s="173">
        <f>'Cogs GM'!D109</f>
        <v>0</v>
      </c>
      <c r="F25" s="173">
        <f>'Cogs GM'!E109</f>
        <v>0</v>
      </c>
      <c r="G25" s="173">
        <f>'Cogs GM'!F109</f>
        <v>0</v>
      </c>
      <c r="H25" s="173">
        <f>'Cogs GM'!G109</f>
        <v>0</v>
      </c>
      <c r="I25" s="172">
        <f>SUM(C25:H25)</f>
        <v>0</v>
      </c>
    </row>
    <row r="26" spans="1:9" ht="12.75" hidden="1" customHeight="1" outlineLevel="1" x14ac:dyDescent="0.2">
      <c r="A26" s="134" t="str">
        <f>Labels!B256</f>
        <v>Product 2</v>
      </c>
      <c r="B26" s="3"/>
      <c r="C26" s="3"/>
      <c r="D26" s="3"/>
      <c r="E26" s="3"/>
      <c r="F26" s="3"/>
      <c r="G26" s="3"/>
      <c r="H26" s="3"/>
      <c r="I26" s="134"/>
    </row>
    <row r="27" spans="1:9" ht="12.75" hidden="1" customHeight="1" outlineLevel="1" x14ac:dyDescent="0.2">
      <c r="A27" s="142" t="str">
        <f>"   "&amp;Labels!B85</f>
        <v xml:space="preserve">   Finished Inventory Value</v>
      </c>
      <c r="B27" s="135">
        <f>'(Tables)'!B343</f>
        <v>0</v>
      </c>
      <c r="C27" s="135">
        <f>'(Tables)'!B343+'Cogs GM'!B123-'(Tables)'!B98</f>
        <v>0</v>
      </c>
      <c r="D27" s="135">
        <f>C27+'Cogs GM'!C123-'(Tables)'!C98</f>
        <v>0</v>
      </c>
      <c r="E27" s="135">
        <f>D27+'Cogs GM'!D123-'(Tables)'!D98</f>
        <v>0</v>
      </c>
      <c r="F27" s="135">
        <f>E27+'Cogs GM'!E123-'(Tables)'!E98</f>
        <v>0</v>
      </c>
      <c r="G27" s="135">
        <f>F27+'Cogs GM'!F123-'(Tables)'!F98</f>
        <v>0</v>
      </c>
      <c r="H27" s="135">
        <f>G27+'Cogs GM'!G123-'(Tables)'!G98</f>
        <v>0</v>
      </c>
      <c r="I27" s="136">
        <f>H27</f>
        <v>0</v>
      </c>
    </row>
    <row r="28" spans="1:9" ht="12.75" hidden="1" customHeight="1" outlineLevel="1" x14ac:dyDescent="0.2">
      <c r="A28" s="142" t="str">
        <f>"   "&amp;Labels!B89</f>
        <v xml:space="preserve">   Finished Inventory (U)</v>
      </c>
      <c r="B28" s="173">
        <f>'(Tables)'!B144</f>
        <v>0</v>
      </c>
      <c r="C28" s="173">
        <f>'(Tables)'!B144+C29-Sales!B71</f>
        <v>0</v>
      </c>
      <c r="D28" s="173">
        <f>C28+D29-Sales!C71</f>
        <v>0</v>
      </c>
      <c r="E28" s="173">
        <f>D28+E29-Sales!D71</f>
        <v>0</v>
      </c>
      <c r="F28" s="173">
        <f>E28+F29-Sales!E71</f>
        <v>0</v>
      </c>
      <c r="G28" s="173">
        <f>F28+G29-Sales!F71</f>
        <v>0</v>
      </c>
      <c r="H28" s="173">
        <f>G28+H29-Sales!G71</f>
        <v>0</v>
      </c>
      <c r="I28" s="172">
        <f>H28</f>
        <v>0</v>
      </c>
    </row>
    <row r="29" spans="1:9" ht="12.75" hidden="1" customHeight="1" outlineLevel="1" x14ac:dyDescent="0.2">
      <c r="A29" s="142" t="str">
        <f>"   "&amp;Labels!B119</f>
        <v xml:space="preserve">   Production Units</v>
      </c>
      <c r="B29" s="173"/>
      <c r="C29" s="173">
        <f>'Cogs GM'!B110</f>
        <v>0</v>
      </c>
      <c r="D29" s="173">
        <f>'Cogs GM'!C110</f>
        <v>0</v>
      </c>
      <c r="E29" s="173">
        <f>'Cogs GM'!D110</f>
        <v>0</v>
      </c>
      <c r="F29" s="173">
        <f>'Cogs GM'!E110</f>
        <v>0</v>
      </c>
      <c r="G29" s="173">
        <f>'Cogs GM'!F110</f>
        <v>0</v>
      </c>
      <c r="H29" s="173">
        <f>'Cogs GM'!G110</f>
        <v>0</v>
      </c>
      <c r="I29" s="172">
        <f>SUM(C29:H29)</f>
        <v>0</v>
      </c>
    </row>
    <row r="30" spans="1:9" ht="12.75" hidden="1" customHeight="1" outlineLevel="1" x14ac:dyDescent="0.2">
      <c r="A30" s="91" t="str">
        <f>Labels!C254</f>
        <v>Total</v>
      </c>
      <c r="B30" s="6"/>
      <c r="C30" s="6"/>
      <c r="D30" s="6"/>
      <c r="E30" s="6"/>
      <c r="F30" s="6"/>
      <c r="G30" s="6"/>
      <c r="H30" s="6"/>
      <c r="I30" s="91"/>
    </row>
    <row r="31" spans="1:9" ht="12.75" hidden="1" customHeight="1" outlineLevel="1" x14ac:dyDescent="0.2">
      <c r="A31" s="142" t="str">
        <f>"   "&amp;Labels!B85</f>
        <v xml:space="preserve">   Finished Inventory Value</v>
      </c>
      <c r="B31" s="135">
        <f>SUM('(Tables)'!B342:B343)</f>
        <v>0</v>
      </c>
      <c r="C31" s="135">
        <f t="shared" ref="C31:H33" si="2">SUM(C23,C27)</f>
        <v>0</v>
      </c>
      <c r="D31" s="135">
        <f t="shared" si="2"/>
        <v>0</v>
      </c>
      <c r="E31" s="135">
        <f t="shared" si="2"/>
        <v>0</v>
      </c>
      <c r="F31" s="135">
        <f t="shared" si="2"/>
        <v>0</v>
      </c>
      <c r="G31" s="135">
        <f t="shared" si="2"/>
        <v>0</v>
      </c>
      <c r="H31" s="135">
        <f t="shared" si="2"/>
        <v>0</v>
      </c>
      <c r="I31" s="136">
        <f>SUM(H23,H27)</f>
        <v>0</v>
      </c>
    </row>
    <row r="32" spans="1:9" ht="12.75" hidden="1" customHeight="1" outlineLevel="1" x14ac:dyDescent="0.2">
      <c r="A32" s="142" t="str">
        <f>"   "&amp;Labels!B89</f>
        <v xml:space="preserve">   Finished Inventory (U)</v>
      </c>
      <c r="B32" s="173">
        <f>SUM('(Tables)'!B143:B144)</f>
        <v>0</v>
      </c>
      <c r="C32" s="173">
        <f t="shared" si="2"/>
        <v>0</v>
      </c>
      <c r="D32" s="173">
        <f t="shared" si="2"/>
        <v>0</v>
      </c>
      <c r="E32" s="173">
        <f t="shared" si="2"/>
        <v>0</v>
      </c>
      <c r="F32" s="173">
        <f t="shared" si="2"/>
        <v>0</v>
      </c>
      <c r="G32" s="173">
        <f t="shared" si="2"/>
        <v>0</v>
      </c>
      <c r="H32" s="173">
        <f t="shared" si="2"/>
        <v>0</v>
      </c>
      <c r="I32" s="172">
        <f>SUM(H24,H28)</f>
        <v>0</v>
      </c>
    </row>
    <row r="33" spans="1:9" ht="12.75" hidden="1" customHeight="1" outlineLevel="1" x14ac:dyDescent="0.2">
      <c r="A33" s="163" t="str">
        <f>"   "&amp;Labels!B119</f>
        <v xml:space="preserve">   Production Units</v>
      </c>
      <c r="B33" s="208"/>
      <c r="C33" s="208">
        <f t="shared" si="2"/>
        <v>0</v>
      </c>
      <c r="D33" s="208">
        <f t="shared" si="2"/>
        <v>0</v>
      </c>
      <c r="E33" s="208">
        <f t="shared" si="2"/>
        <v>0</v>
      </c>
      <c r="F33" s="208">
        <f t="shared" si="2"/>
        <v>0</v>
      </c>
      <c r="G33" s="208">
        <f t="shared" si="2"/>
        <v>0</v>
      </c>
      <c r="H33" s="208">
        <f t="shared" si="2"/>
        <v>0</v>
      </c>
      <c r="I33" s="176">
        <f>SUM(C33:H33)</f>
        <v>0</v>
      </c>
    </row>
    <row r="34" spans="1:9" ht="12.75" hidden="1" customHeight="1" outlineLevel="1" x14ac:dyDescent="0.2"/>
    <row r="35" spans="1:9" ht="12.75" hidden="1" customHeight="1" outlineLevel="1" collapsed="1" x14ac:dyDescent="0.2"/>
    <row r="36" spans="1:9" ht="12.75" customHeight="1" collapsed="1" x14ac:dyDescent="0.2"/>
    <row r="37" spans="1:9" ht="12.75" customHeight="1" x14ac:dyDescent="0.2">
      <c r="A37" s="322" t="str">
        <f>"Long Term Assets"</f>
        <v>Long Term Assets</v>
      </c>
      <c r="B37" s="322"/>
    </row>
    <row r="38" spans="1:9" ht="12.75" customHeight="1" x14ac:dyDescent="0.2">
      <c r="A38" s="1" t="str">
        <f>""</f>
        <v/>
      </c>
    </row>
    <row r="39" spans="1:9" ht="12.75" customHeight="1" x14ac:dyDescent="0.2">
      <c r="B39" s="10" t="str">
        <f>'(FnCalls 1)'!H29</f>
        <v>2010</v>
      </c>
      <c r="C39" s="11" t="str">
        <f>'(FnCalls 1)'!F41</f>
        <v>MMM 2011</v>
      </c>
      <c r="D39" s="11" t="str">
        <f>'(FnCalls 1)'!F42</f>
        <v>MMM 2011</v>
      </c>
      <c r="E39" s="11" t="str">
        <f>'(FnCalls 1)'!F43</f>
        <v>MMM 2011</v>
      </c>
      <c r="F39" s="11" t="str">
        <f>'(FnCalls 1)'!F44</f>
        <v>MMM 2011</v>
      </c>
      <c r="G39" s="11" t="str">
        <f>'(FnCalls 1)'!F45</f>
        <v>MMM 2011</v>
      </c>
      <c r="H39" s="11" t="str">
        <f>'(FnCalls 1)'!F46</f>
        <v>MMM 2011</v>
      </c>
      <c r="I39" s="94" t="str">
        <f>'(FnCalls 1)'!H41</f>
        <v>2011</v>
      </c>
    </row>
    <row r="40" spans="1:9" ht="12.75" customHeight="1" x14ac:dyDescent="0.2">
      <c r="A40" s="128" t="str">
        <f>Labels!B98</f>
        <v>Long Term Assets</v>
      </c>
      <c r="B40" s="141">
        <f>'(Tables)'!B376</f>
        <v>0</v>
      </c>
      <c r="C40" s="141">
        <f t="shared" ref="C40:H40" si="3">0+C51+0</f>
        <v>0</v>
      </c>
      <c r="D40" s="141">
        <f t="shared" si="3"/>
        <v>0</v>
      </c>
      <c r="E40" s="141">
        <f t="shared" si="3"/>
        <v>0</v>
      </c>
      <c r="F40" s="141">
        <f t="shared" si="3"/>
        <v>0</v>
      </c>
      <c r="G40" s="141">
        <f t="shared" si="3"/>
        <v>0</v>
      </c>
      <c r="H40" s="141">
        <f t="shared" si="3"/>
        <v>0</v>
      </c>
      <c r="I40" s="130">
        <f>H40</f>
        <v>0</v>
      </c>
    </row>
    <row r="41" spans="1:9" ht="12.75" customHeight="1" x14ac:dyDescent="0.2">
      <c r="A41" s="134" t="str">
        <f>Labels!B97</f>
        <v>Long Asset Purch</v>
      </c>
      <c r="B41" s="145">
        <f>'(Tables)'!B326</f>
        <v>0</v>
      </c>
      <c r="C41" s="145">
        <f t="shared" ref="C41:H41" si="4">0+C55</f>
        <v>0</v>
      </c>
      <c r="D41" s="145">
        <f t="shared" si="4"/>
        <v>0</v>
      </c>
      <c r="E41" s="145">
        <f t="shared" si="4"/>
        <v>0</v>
      </c>
      <c r="F41" s="145">
        <f t="shared" si="4"/>
        <v>0</v>
      </c>
      <c r="G41" s="145">
        <f t="shared" si="4"/>
        <v>0</v>
      </c>
      <c r="H41" s="145">
        <f t="shared" si="4"/>
        <v>0</v>
      </c>
      <c r="I41" s="136">
        <f>SUM(C41:H41)</f>
        <v>0</v>
      </c>
    </row>
    <row r="42" spans="1:9" ht="12.75" customHeight="1" x14ac:dyDescent="0.2">
      <c r="A42" s="131" t="str">
        <f>Labels!B43</f>
        <v>Depreciation</v>
      </c>
      <c r="B42" s="127"/>
      <c r="C42" s="127">
        <f>IncStmt!B19</f>
        <v>0</v>
      </c>
      <c r="D42" s="127">
        <f>IncStmt!C19</f>
        <v>0</v>
      </c>
      <c r="E42" s="127">
        <f>IncStmt!D19</f>
        <v>0</v>
      </c>
      <c r="F42" s="127">
        <f>IncStmt!E19</f>
        <v>0</v>
      </c>
      <c r="G42" s="127">
        <f>IncStmt!F19</f>
        <v>0</v>
      </c>
      <c r="H42" s="127">
        <f>IncStmt!G19</f>
        <v>0</v>
      </c>
      <c r="I42" s="146">
        <f>SUM(C42:H42)</f>
        <v>0</v>
      </c>
    </row>
    <row r="44" spans="1:9" ht="12.75" customHeight="1" x14ac:dyDescent="0.2">
      <c r="A44" s="321" t="str">
        <f>"Tagged Assets"</f>
        <v>Tagged Assets</v>
      </c>
      <c r="B44" s="321"/>
    </row>
    <row r="45" spans="1:9" ht="12.75" hidden="1" customHeight="1" outlineLevel="1" x14ac:dyDescent="0.2">
      <c r="B45" s="10" t="str">
        <f>Labels!B160</f>
        <v>Asset Name</v>
      </c>
      <c r="C45" s="11" t="str">
        <f>Labels!B162</f>
        <v>Purch Date</v>
      </c>
      <c r="D45" s="11" t="str">
        <f>Labels!B153</f>
        <v>Depr Method</v>
      </c>
      <c r="E45" s="11" t="str">
        <f>Labels!B157</f>
        <v>Depr Life (Yr)</v>
      </c>
      <c r="F45" s="11" t="str">
        <f>Labels!B155</f>
        <v>Initial Value</v>
      </c>
      <c r="G45" s="12" t="str">
        <f>Labels!B164</f>
        <v>Salvage Value</v>
      </c>
    </row>
    <row r="46" spans="1:9" ht="12.75" hidden="1" customHeight="1" outlineLevel="1" x14ac:dyDescent="0.2">
      <c r="A46" s="91" t="str">
        <f>Labels!B186</f>
        <v>Asset 1</v>
      </c>
      <c r="B46" s="209">
        <f>Inputs!D188</f>
        <v>0</v>
      </c>
      <c r="C46" s="210">
        <f>Inputs!E188</f>
        <v>40725</v>
      </c>
      <c r="D46" s="209" t="str">
        <f>Inputs!G188</f>
        <v>SLN</v>
      </c>
      <c r="E46" s="211">
        <f>Inputs!H188</f>
        <v>10</v>
      </c>
      <c r="F46" s="147">
        <f>Inputs!F188</f>
        <v>0</v>
      </c>
      <c r="G46" s="212">
        <f>Inputs!J188</f>
        <v>0</v>
      </c>
    </row>
    <row r="47" spans="1:9" ht="12.75" hidden="1" customHeight="1" outlineLevel="1" x14ac:dyDescent="0.2"/>
    <row r="48" spans="1:9" ht="12.75" hidden="1" customHeight="1" outlineLevel="1" x14ac:dyDescent="0.2">
      <c r="B48" s="10" t="str">
        <f>'(FnCalls 1)'!H29</f>
        <v>2010</v>
      </c>
      <c r="C48" s="11" t="str">
        <f>'(FnCalls 1)'!F41</f>
        <v>MMM 2011</v>
      </c>
      <c r="D48" s="11" t="str">
        <f>'(FnCalls 1)'!F42</f>
        <v>MMM 2011</v>
      </c>
      <c r="E48" s="11" t="str">
        <f>'(FnCalls 1)'!F43</f>
        <v>MMM 2011</v>
      </c>
      <c r="F48" s="11" t="str">
        <f>'(FnCalls 1)'!F44</f>
        <v>MMM 2011</v>
      </c>
      <c r="G48" s="11" t="str">
        <f>'(FnCalls 1)'!F45</f>
        <v>MMM 2011</v>
      </c>
      <c r="H48" s="11" t="str">
        <f>'(FnCalls 1)'!F46</f>
        <v>MMM 2011</v>
      </c>
      <c r="I48" s="94" t="str">
        <f>'(FnCalls 1)'!H41</f>
        <v>2011</v>
      </c>
    </row>
    <row r="49" spans="1:9" ht="12.75" hidden="1" customHeight="1" outlineLevel="1" x14ac:dyDescent="0.2">
      <c r="A49" s="128" t="str">
        <f>Labels!B165</f>
        <v>Tagged Assets</v>
      </c>
      <c r="B49" s="141"/>
      <c r="C49" s="141"/>
      <c r="D49" s="141"/>
      <c r="E49" s="141"/>
      <c r="F49" s="141"/>
      <c r="G49" s="141"/>
      <c r="H49" s="141"/>
      <c r="I49" s="130"/>
    </row>
    <row r="50" spans="1:9" ht="12.75" hidden="1" customHeight="1" outlineLevel="1" x14ac:dyDescent="0.2">
      <c r="A50" s="142" t="str">
        <f>"   "&amp;Labels!B186</f>
        <v xml:space="preserve">   Asset 1</v>
      </c>
      <c r="B50" s="135">
        <f>SUM('(Tables)'!Z285:AK285)</f>
        <v>0</v>
      </c>
      <c r="C50" s="135">
        <f>IF('(Tables)'!AL277=-1,0,IF('(Tables)'!AL277=0,F46,'(Tables)'!AK285-C58))-C62</f>
        <v>0</v>
      </c>
      <c r="D50" s="135">
        <f>IF('(Tables)'!AM277=-1,0,IF('(Tables)'!AM277=0,F46,C50-D58))-D62</f>
        <v>0</v>
      </c>
      <c r="E50" s="135">
        <f>IF('(Tables)'!AN277=-1,0,IF('(Tables)'!AN277=0,F46,D50-E58))-E62</f>
        <v>0</v>
      </c>
      <c r="F50" s="135">
        <f>IF('(Tables)'!AO277=-1,0,IF('(Tables)'!AO277=0,F46,E50-F58))-F62</f>
        <v>0</v>
      </c>
      <c r="G50" s="135">
        <f>IF('(Tables)'!AP277=-1,0,IF('(Tables)'!AP277=0,F46,F50-G58))-G62</f>
        <v>0</v>
      </c>
      <c r="H50" s="135">
        <f>IF('(Tables)'!AQ277=-1,0,IF('(Tables)'!AQ277=0,F46,G50-H58))-H62</f>
        <v>0</v>
      </c>
      <c r="I50" s="136">
        <f>SUM(C50:H50)</f>
        <v>0</v>
      </c>
    </row>
    <row r="51" spans="1:9" ht="12.75" hidden="1" customHeight="1" outlineLevel="1" x14ac:dyDescent="0.2">
      <c r="A51" s="134" t="str">
        <f>"   "&amp;Labels!C185</f>
        <v xml:space="preserve">   Total</v>
      </c>
      <c r="B51" s="145">
        <f>SUM('(Tables)'!Z286:AK286)</f>
        <v>0</v>
      </c>
      <c r="C51" s="145">
        <f t="shared" ref="C51:H51" si="5">C50</f>
        <v>0</v>
      </c>
      <c r="D51" s="145">
        <f t="shared" si="5"/>
        <v>0</v>
      </c>
      <c r="E51" s="145">
        <f t="shared" si="5"/>
        <v>0</v>
      </c>
      <c r="F51" s="145">
        <f t="shared" si="5"/>
        <v>0</v>
      </c>
      <c r="G51" s="145">
        <f t="shared" si="5"/>
        <v>0</v>
      </c>
      <c r="H51" s="145">
        <f t="shared" si="5"/>
        <v>0</v>
      </c>
      <c r="I51" s="136">
        <f>SUM(C51:H51)</f>
        <v>0</v>
      </c>
    </row>
    <row r="52" spans="1:9" ht="12.75" hidden="1" customHeight="1" outlineLevel="1" x14ac:dyDescent="0.2">
      <c r="A52" s="91"/>
      <c r="B52" s="6"/>
      <c r="C52" s="6"/>
      <c r="D52" s="6"/>
      <c r="E52" s="6"/>
      <c r="F52" s="6"/>
      <c r="G52" s="6"/>
      <c r="H52" s="6"/>
      <c r="I52" s="91"/>
    </row>
    <row r="53" spans="1:9" ht="12.75" hidden="1" customHeight="1" outlineLevel="1" x14ac:dyDescent="0.2">
      <c r="A53" s="134" t="str">
        <f>Labels!B161</f>
        <v>Tagged Asset Purch</v>
      </c>
      <c r="B53" s="145"/>
      <c r="C53" s="145"/>
      <c r="D53" s="145"/>
      <c r="E53" s="145"/>
      <c r="F53" s="145"/>
      <c r="G53" s="145"/>
      <c r="H53" s="145"/>
      <c r="I53" s="136"/>
    </row>
    <row r="54" spans="1:9" ht="12.75" hidden="1" customHeight="1" outlineLevel="1" x14ac:dyDescent="0.2">
      <c r="A54" s="142" t="str">
        <f>"   "&amp;Labels!B186</f>
        <v xml:space="preserve">   Asset 1</v>
      </c>
      <c r="B54" s="135">
        <f>SUM('(Tables)'!Z329:AK329)</f>
        <v>0</v>
      </c>
      <c r="C54" s="135">
        <f>IF(AND('(FnCalls 1)'!A41&lt;=C46,C46&lt;='(FnCalls 1)'!A42-1),F46,0)</f>
        <v>0</v>
      </c>
      <c r="D54" s="135">
        <f>IF(AND('(FnCalls 1)'!A42&lt;=C46,C46&lt;='(FnCalls 1)'!A43-1),F46,0)</f>
        <v>0</v>
      </c>
      <c r="E54" s="135">
        <f>IF(AND('(FnCalls 1)'!A43&lt;=C46,C46&lt;='(FnCalls 1)'!A44-1),F46,0)</f>
        <v>0</v>
      </c>
      <c r="F54" s="135">
        <f>IF(AND('(FnCalls 1)'!A44&lt;=C46,C46&lt;='(FnCalls 1)'!A45-1),F46,0)</f>
        <v>0</v>
      </c>
      <c r="G54" s="135">
        <f>IF(AND('(FnCalls 1)'!A45&lt;=C46,C46&lt;='(FnCalls 1)'!A46-1),F46,0)</f>
        <v>0</v>
      </c>
      <c r="H54" s="135">
        <f>IF(AND('(FnCalls 1)'!A46&lt;=C46,C46&lt;='(FnCalls 1)'!A47-1),F46,0)</f>
        <v>0</v>
      </c>
      <c r="I54" s="136">
        <f>SUM(C54:H54)</f>
        <v>0</v>
      </c>
    </row>
    <row r="55" spans="1:9" ht="12.75" hidden="1" customHeight="1" outlineLevel="1" x14ac:dyDescent="0.2">
      <c r="A55" s="134" t="str">
        <f>"   "&amp;Labels!C185</f>
        <v xml:space="preserve">   Total</v>
      </c>
      <c r="B55" s="145">
        <f>SUM('(Tables)'!Z330:AK330)</f>
        <v>0</v>
      </c>
      <c r="C55" s="145">
        <f t="shared" ref="C55:H55" si="6">C54</f>
        <v>0</v>
      </c>
      <c r="D55" s="145">
        <f t="shared" si="6"/>
        <v>0</v>
      </c>
      <c r="E55" s="145">
        <f t="shared" si="6"/>
        <v>0</v>
      </c>
      <c r="F55" s="145">
        <f t="shared" si="6"/>
        <v>0</v>
      </c>
      <c r="G55" s="145">
        <f t="shared" si="6"/>
        <v>0</v>
      </c>
      <c r="H55" s="145">
        <f t="shared" si="6"/>
        <v>0</v>
      </c>
      <c r="I55" s="136">
        <f>SUM(C55:H55)</f>
        <v>0</v>
      </c>
    </row>
    <row r="56" spans="1:9" ht="12.75" hidden="1" customHeight="1" outlineLevel="1" x14ac:dyDescent="0.2">
      <c r="A56" s="91"/>
      <c r="B56" s="6"/>
      <c r="C56" s="6"/>
      <c r="D56" s="6"/>
      <c r="E56" s="6"/>
      <c r="F56" s="6"/>
      <c r="G56" s="6"/>
      <c r="H56" s="6"/>
      <c r="I56" s="91"/>
    </row>
    <row r="57" spans="1:9" ht="12.75" hidden="1" customHeight="1" outlineLevel="1" x14ac:dyDescent="0.2">
      <c r="A57" s="134" t="str">
        <f>Labels!B152</f>
        <v>Depreciation</v>
      </c>
      <c r="B57" s="145"/>
      <c r="C57" s="145"/>
      <c r="D57" s="145"/>
      <c r="E57" s="145"/>
      <c r="F57" s="145"/>
      <c r="G57" s="145"/>
      <c r="H57" s="145"/>
      <c r="I57" s="136"/>
    </row>
    <row r="58" spans="1:9" ht="12.75" hidden="1" customHeight="1" outlineLevel="1" x14ac:dyDescent="0.2">
      <c r="A58" s="142" t="str">
        <f>"   "&amp;Labels!B186</f>
        <v xml:space="preserve">   Asset 1</v>
      </c>
      <c r="B58" s="135">
        <f>SUM('(Tables)'!Z273:AK273)</f>
        <v>0</v>
      </c>
      <c r="C58" s="135">
        <f>IF('(Tables)'!AL277&lt;=0,0,IF(D46="None",0,IF(D46="SYD",SYD(F46,G46,E46*12,'(Tables)'!AL277),MIN('(Tables)'!AK285-G46,MAX(SLN(F46,G46,E46*12))))))</f>
        <v>0</v>
      </c>
      <c r="D58" s="135">
        <f>IF('(Tables)'!AM277&lt;=0,0,IF(D46="None",0,IF(D46="SYD",SYD(F46,G46,E46*12,'(Tables)'!AM277),MIN(C50-G46,MAX(SLN(F46,G46,E46*12))))))</f>
        <v>0</v>
      </c>
      <c r="E58" s="135">
        <f>IF('(Tables)'!AN277&lt;=0,0,IF(D46="None",0,IF(D46="SYD",SYD(F46,G46,E46*12,'(Tables)'!AN277),MIN(D50-G46,MAX(SLN(F46,G46,E46*12))))))</f>
        <v>0</v>
      </c>
      <c r="F58" s="135">
        <f>IF('(Tables)'!AO277&lt;=0,0,IF(D46="None",0,IF(D46="SYD",SYD(F46,G46,E46*12,'(Tables)'!AO277),MIN(E50-G46,MAX(SLN(F46,G46,E46*12))))))</f>
        <v>0</v>
      </c>
      <c r="G58" s="135">
        <f>IF('(Tables)'!AP277&lt;=0,0,IF(D46="None",0,IF(D46="SYD",SYD(F46,G46,E46*12,'(Tables)'!AP277),MIN(F50-G46,MAX(SLN(F46,G46,E46*12))))))</f>
        <v>0</v>
      </c>
      <c r="H58" s="135">
        <f>IF('(Tables)'!AQ277&lt;=0,0,IF(D46="None",0,IF(D46="SYD",SYD(F46,G46,E46*12,'(Tables)'!AQ277),MIN(G50-G46,MAX(SLN(F46,G46,E46*12))))))</f>
        <v>0</v>
      </c>
      <c r="I58" s="136">
        <f>SUM(C58:H58)</f>
        <v>0</v>
      </c>
    </row>
    <row r="59" spans="1:9" ht="12.75" hidden="1" customHeight="1" outlineLevel="1" x14ac:dyDescent="0.2">
      <c r="A59" s="134" t="str">
        <f>"   "&amp;Labels!C185</f>
        <v xml:space="preserve">   Total</v>
      </c>
      <c r="B59" s="145">
        <f>SUM('(Tables)'!Z274:AK274)</f>
        <v>0</v>
      </c>
      <c r="C59" s="145">
        <f t="shared" ref="C59:H59" si="7">C58</f>
        <v>0</v>
      </c>
      <c r="D59" s="145">
        <f t="shared" si="7"/>
        <v>0</v>
      </c>
      <c r="E59" s="145">
        <f t="shared" si="7"/>
        <v>0</v>
      </c>
      <c r="F59" s="145">
        <f t="shared" si="7"/>
        <v>0</v>
      </c>
      <c r="G59" s="145">
        <f t="shared" si="7"/>
        <v>0</v>
      </c>
      <c r="H59" s="145">
        <f t="shared" si="7"/>
        <v>0</v>
      </c>
      <c r="I59" s="136">
        <f>SUM(C59:H59)</f>
        <v>0</v>
      </c>
    </row>
    <row r="60" spans="1:9" ht="12.75" hidden="1" customHeight="1" outlineLevel="1" x14ac:dyDescent="0.2">
      <c r="A60" s="91"/>
      <c r="B60" s="6"/>
      <c r="C60" s="6"/>
      <c r="D60" s="6"/>
      <c r="E60" s="6"/>
      <c r="F60" s="6"/>
      <c r="G60" s="6"/>
      <c r="H60" s="6"/>
      <c r="I60" s="91"/>
    </row>
    <row r="61" spans="1:9" ht="12.75" hidden="1" customHeight="1" outlineLevel="1" x14ac:dyDescent="0.2">
      <c r="A61" s="134" t="str">
        <f>Labels!B163</f>
        <v>Asset Salvage CF</v>
      </c>
      <c r="B61" s="145"/>
      <c r="C61" s="145"/>
      <c r="D61" s="145"/>
      <c r="E61" s="145"/>
      <c r="F61" s="145"/>
      <c r="G61" s="145"/>
      <c r="H61" s="145"/>
      <c r="I61" s="136"/>
    </row>
    <row r="62" spans="1:9" ht="12.75" hidden="1" customHeight="1" outlineLevel="1" x14ac:dyDescent="0.2">
      <c r="A62" s="142" t="str">
        <f>"   "&amp;Labels!B186</f>
        <v xml:space="preserve">   Asset 1</v>
      </c>
      <c r="B62" s="135">
        <f>SUM('(Tables)'!Z289:AK289)</f>
        <v>0</v>
      </c>
      <c r="C62" s="135">
        <f>IF(AND(DATE(YEAR('(FnCalls 1)'!A41),MONTH('(FnCalls 1)'!A41)+TRUNC((-'(Tables)'!B293)),DAY('(FnCalls 1)'!A41))&lt;=C46,C46&lt;DATE(YEAR('(FnCalls 1)'!A41),MONTH('(FnCalls 1)'!A41)+TRUNC(1-'(Tables)'!B293),DAY('(FnCalls 1)'!A41))),G46,0)</f>
        <v>0</v>
      </c>
      <c r="D62" s="135">
        <f>IF(AND(DATE(YEAR('(FnCalls 1)'!A42),MONTH('(FnCalls 1)'!A42)+TRUNC((-'(Tables)'!B293)),DAY('(FnCalls 1)'!A42))&lt;=C46,C46&lt;DATE(YEAR('(FnCalls 1)'!A42),MONTH('(FnCalls 1)'!A42)+TRUNC(1-'(Tables)'!B293),DAY('(FnCalls 1)'!A42))),G46,0)</f>
        <v>0</v>
      </c>
      <c r="E62" s="135">
        <f>IF(AND(DATE(YEAR('(FnCalls 1)'!A43),MONTH('(FnCalls 1)'!A43)+TRUNC((-'(Tables)'!B293)),DAY('(FnCalls 1)'!A43))&lt;=C46,C46&lt;DATE(YEAR('(FnCalls 1)'!A43),MONTH('(FnCalls 1)'!A43)+TRUNC(1-'(Tables)'!B293),DAY('(FnCalls 1)'!A43))),G46,0)</f>
        <v>0</v>
      </c>
      <c r="F62" s="135">
        <f>IF(AND(DATE(YEAR('(FnCalls 1)'!A44),MONTH('(FnCalls 1)'!A44)+TRUNC((-'(Tables)'!B293)),DAY('(FnCalls 1)'!A44))&lt;=C46,C46&lt;DATE(YEAR('(FnCalls 1)'!A44),MONTH('(FnCalls 1)'!A44)+TRUNC(1-'(Tables)'!B293),DAY('(FnCalls 1)'!A44))),G46,0)</f>
        <v>0</v>
      </c>
      <c r="G62" s="135">
        <f>IF(AND(DATE(YEAR('(FnCalls 1)'!A45),MONTH('(FnCalls 1)'!A45)+TRUNC((-'(Tables)'!B293)),DAY('(FnCalls 1)'!A45))&lt;=C46,C46&lt;DATE(YEAR('(FnCalls 1)'!A45),MONTH('(FnCalls 1)'!A45)+TRUNC(1-'(Tables)'!B293),DAY('(FnCalls 1)'!A45))),G46,0)</f>
        <v>0</v>
      </c>
      <c r="H62" s="135">
        <f>IF(AND(DATE(YEAR('(FnCalls 1)'!A46),MONTH('(FnCalls 1)'!A46)+TRUNC((-'(Tables)'!B293)),DAY('(FnCalls 1)'!A46))&lt;=C46,C46&lt;DATE(YEAR('(FnCalls 1)'!A46),MONTH('(FnCalls 1)'!A46)+TRUNC(1-'(Tables)'!B293),DAY('(FnCalls 1)'!A46))),G46,0)</f>
        <v>0</v>
      </c>
      <c r="I62" s="136">
        <f>SUM(C62:H62)</f>
        <v>0</v>
      </c>
    </row>
    <row r="63" spans="1:9" ht="12.75" hidden="1" customHeight="1" outlineLevel="1" x14ac:dyDescent="0.2">
      <c r="A63" s="131" t="str">
        <f>"   "&amp;Labels!C185</f>
        <v xml:space="preserve">   Total</v>
      </c>
      <c r="B63" s="127">
        <f>SUM('(Tables)'!Z290:AK290)</f>
        <v>0</v>
      </c>
      <c r="C63" s="127">
        <f t="shared" ref="C63:H63" si="8">C62</f>
        <v>0</v>
      </c>
      <c r="D63" s="127">
        <f t="shared" si="8"/>
        <v>0</v>
      </c>
      <c r="E63" s="127">
        <f t="shared" si="8"/>
        <v>0</v>
      </c>
      <c r="F63" s="127">
        <f t="shared" si="8"/>
        <v>0</v>
      </c>
      <c r="G63" s="127">
        <f t="shared" si="8"/>
        <v>0</v>
      </c>
      <c r="H63" s="127">
        <f t="shared" si="8"/>
        <v>0</v>
      </c>
      <c r="I63" s="146">
        <f>SUM(C63:H63)</f>
        <v>0</v>
      </c>
    </row>
    <row r="64" spans="1:9" ht="12.75" hidden="1" customHeight="1" outlineLevel="1" x14ac:dyDescent="0.2"/>
    <row r="65" ht="12.75" hidden="1" customHeight="1" outlineLevel="1" collapsed="1" x14ac:dyDescent="0.2"/>
    <row r="66" ht="12.75" customHeight="1" collapsed="1" x14ac:dyDescent="0.2"/>
  </sheetData>
  <mergeCells count="7">
    <mergeCell ref="A44:B44"/>
    <mergeCell ref="A1:D1"/>
    <mergeCell ref="A2:D2"/>
    <mergeCell ref="A3:D3"/>
    <mergeCell ref="A4:D4"/>
    <mergeCell ref="A5:B5"/>
    <mergeCell ref="A37:B37"/>
  </mergeCells>
  <pageMargins left="0.25" right="0.25" top="0.5" bottom="0.5" header="0.5" footer="0.5"/>
  <pageSetup paperSize="9" fitToHeight="32767" orientation="landscape" horizontalDpi="300" verticalDpi="300"/>
  <headerFooter alignWithMargins="0"/>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I26"/>
  <sheetViews>
    <sheetView zoomScaleNormal="100" workbookViewId="0"/>
  </sheetViews>
  <sheetFormatPr defaultRowHeight="12.75" customHeight="1" x14ac:dyDescent="0.2"/>
  <cols>
    <col min="1" max="1" width="16.85546875" customWidth="1"/>
    <col min="2" max="2" width="5.42578125" customWidth="1"/>
    <col min="3" max="3" width="8.5703125" customWidth="1"/>
    <col min="4" max="4" width="8.7109375" customWidth="1"/>
    <col min="5" max="6" width="8.5703125" customWidth="1"/>
    <col min="7" max="7" width="8.85546875" customWidth="1"/>
    <col min="8" max="8" width="8.7109375" customWidth="1"/>
    <col min="9" max="9" width="5.42578125" customWidth="1"/>
  </cols>
  <sheetData>
    <row r="1" spans="1:9" ht="12.75" customHeight="1" x14ac:dyDescent="0.2">
      <c r="A1" s="320" t="str">
        <f>Inputs!D7</f>
        <v>ABC Corp.</v>
      </c>
      <c r="B1" s="320"/>
      <c r="C1" s="320"/>
      <c r="D1" s="320"/>
    </row>
    <row r="2" spans="1:9" ht="12.75" customHeight="1" x14ac:dyDescent="0.2">
      <c r="A2" s="320" t="e">
        <f>TEXT('(FnCalls 1)'!A41,"m/d/yyyy")&amp;" to "&amp;TEXT('(FnCalls 1)'!A47-1,"m/d/yyyy")&amp;", Scenario "&amp;1</f>
        <v>#VALUE!</v>
      </c>
      <c r="B2" s="320"/>
      <c r="C2" s="320"/>
      <c r="D2" s="320"/>
    </row>
    <row r="3" spans="1:9" ht="12.75" customHeight="1" x14ac:dyDescent="0.2">
      <c r="A3" s="320" t="str">
        <f>"Liability Detail"</f>
        <v>Liability Detail</v>
      </c>
      <c r="B3" s="320"/>
      <c r="C3" s="320"/>
      <c r="D3" s="320"/>
    </row>
    <row r="4" spans="1:9" ht="12.75" customHeight="1" x14ac:dyDescent="0.2">
      <c r="A4" s="320" t="str">
        <f>""</f>
        <v/>
      </c>
      <c r="B4" s="320"/>
      <c r="C4" s="320"/>
      <c r="D4" s="320"/>
    </row>
    <row r="5" spans="1:9" ht="12.75" customHeight="1" x14ac:dyDescent="0.2">
      <c r="A5" s="322" t="str">
        <f>"Short Term Liabilities"</f>
        <v>Short Term Liabilities</v>
      </c>
      <c r="B5" s="322"/>
    </row>
    <row r="6" spans="1:9" ht="12.75" customHeight="1" x14ac:dyDescent="0.2">
      <c r="A6" s="1" t="str">
        <f>""</f>
        <v/>
      </c>
    </row>
    <row r="7" spans="1:9" ht="12.75" customHeight="1" x14ac:dyDescent="0.2">
      <c r="B7" s="10" t="str">
        <f>'(FnCalls 1)'!H29</f>
        <v>2010</v>
      </c>
      <c r="C7" s="11" t="str">
        <f>'(FnCalls 1)'!F41</f>
        <v>MMM 2011</v>
      </c>
      <c r="D7" s="11" t="str">
        <f>'(FnCalls 1)'!F42</f>
        <v>MMM 2011</v>
      </c>
      <c r="E7" s="11" t="str">
        <f>'(FnCalls 1)'!F43</f>
        <v>MMM 2011</v>
      </c>
      <c r="F7" s="11" t="str">
        <f>'(FnCalls 1)'!F44</f>
        <v>MMM 2011</v>
      </c>
      <c r="G7" s="11" t="str">
        <f>'(FnCalls 1)'!F45</f>
        <v>MMM 2011</v>
      </c>
      <c r="H7" s="11" t="str">
        <f>'(FnCalls 1)'!F46</f>
        <v>MMM 2011</v>
      </c>
      <c r="I7" s="94" t="str">
        <f>'(FnCalls 1)'!H41</f>
        <v>2011</v>
      </c>
    </row>
    <row r="8" spans="1:9" ht="12.75" customHeight="1" x14ac:dyDescent="0.2">
      <c r="A8" s="128" t="str">
        <f>Labels!B8</f>
        <v>Accts Payable</v>
      </c>
      <c r="B8" s="141"/>
      <c r="C8" s="141"/>
      <c r="D8" s="141"/>
      <c r="E8" s="141"/>
      <c r="F8" s="141"/>
      <c r="G8" s="141"/>
      <c r="H8" s="141"/>
      <c r="I8" s="130"/>
    </row>
    <row r="9" spans="1:9" ht="12.75" customHeight="1" x14ac:dyDescent="0.2">
      <c r="A9" s="142" t="str">
        <f>"   "&amp;Labels!B181</f>
        <v xml:space="preserve">   Vendor Payables</v>
      </c>
      <c r="B9" s="135">
        <f>'(Tables)'!B303</f>
        <v>0</v>
      </c>
      <c r="C9" s="135">
        <f>Inputs!E205*1/('(FnCalls 1)'!A42-'(FnCalls 1)'!A41)*OpExp!B112</f>
        <v>0</v>
      </c>
      <c r="D9" s="135">
        <f>Inputs!F205*1/('(FnCalls 1)'!A43-'(FnCalls 1)'!A42)*OpExp!C112</f>
        <v>0</v>
      </c>
      <c r="E9" s="135">
        <f>Inputs!G205*1/('(FnCalls 1)'!A44-'(FnCalls 1)'!A43)*OpExp!D112</f>
        <v>0</v>
      </c>
      <c r="F9" s="135">
        <f>Inputs!H205*1/('(FnCalls 1)'!A45-'(FnCalls 1)'!A44)*OpExp!E112</f>
        <v>0</v>
      </c>
      <c r="G9" s="135">
        <f>Inputs!I205*1/('(FnCalls 1)'!A46-'(FnCalls 1)'!A45)*OpExp!F112</f>
        <v>0</v>
      </c>
      <c r="H9" s="135">
        <f>Inputs!J205*1/('(FnCalls 1)'!A47-'(FnCalls 1)'!A46)*OpExp!G112</f>
        <v>0</v>
      </c>
      <c r="I9" s="136">
        <f>H9</f>
        <v>0</v>
      </c>
    </row>
    <row r="10" spans="1:9" ht="12.75" customHeight="1" x14ac:dyDescent="0.2">
      <c r="A10" s="142" t="str">
        <f>"   "&amp;Labels!B182</f>
        <v xml:space="preserve">   Payroll Payables</v>
      </c>
      <c r="B10" s="135">
        <f>'(Tables)'!B304</f>
        <v>0</v>
      </c>
      <c r="C10" s="135">
        <f>Inputs!E206*1/('(FnCalls 1)'!A42-'(FnCalls 1)'!A41)*OpExp!B113</f>
        <v>0</v>
      </c>
      <c r="D10" s="135">
        <f>Inputs!F206*1/('(FnCalls 1)'!A43-'(FnCalls 1)'!A42)*OpExp!C113</f>
        <v>0</v>
      </c>
      <c r="E10" s="135">
        <f>Inputs!G206*1/('(FnCalls 1)'!A44-'(FnCalls 1)'!A43)*OpExp!D113</f>
        <v>0</v>
      </c>
      <c r="F10" s="135">
        <f>Inputs!H206*1/('(FnCalls 1)'!A45-'(FnCalls 1)'!A44)*OpExp!E113</f>
        <v>0</v>
      </c>
      <c r="G10" s="135">
        <f>Inputs!I206*1/('(FnCalls 1)'!A46-'(FnCalls 1)'!A45)*OpExp!F113</f>
        <v>0</v>
      </c>
      <c r="H10" s="135">
        <f>Inputs!J206*1/('(FnCalls 1)'!A47-'(FnCalls 1)'!A46)*OpExp!G113</f>
        <v>0</v>
      </c>
      <c r="I10" s="136">
        <f>H10</f>
        <v>0</v>
      </c>
    </row>
    <row r="11" spans="1:9" ht="12.75" customHeight="1" x14ac:dyDescent="0.2">
      <c r="A11" s="142" t="str">
        <f>"   "&amp;Labels!B183</f>
        <v xml:space="preserve">   Taxes Payable</v>
      </c>
      <c r="B11" s="135">
        <f>'(Tables)'!B305</f>
        <v>0</v>
      </c>
      <c r="C11" s="135">
        <f>Inputs!E207*1/('(FnCalls 1)'!A42-'(FnCalls 1)'!A41)*OpExp!B114</f>
        <v>0</v>
      </c>
      <c r="D11" s="135">
        <f>Inputs!F207*1/('(FnCalls 1)'!A43-'(FnCalls 1)'!A42)*OpExp!C114</f>
        <v>0</v>
      </c>
      <c r="E11" s="135">
        <f>Inputs!G207*1/('(FnCalls 1)'!A44-'(FnCalls 1)'!A43)*OpExp!D114</f>
        <v>0</v>
      </c>
      <c r="F11" s="135">
        <f>Inputs!H207*1/('(FnCalls 1)'!A45-'(FnCalls 1)'!A44)*OpExp!E114</f>
        <v>0</v>
      </c>
      <c r="G11" s="135">
        <f>Inputs!I207*1/('(FnCalls 1)'!A46-'(FnCalls 1)'!A45)*OpExp!F114</f>
        <v>0</v>
      </c>
      <c r="H11" s="135">
        <f>Inputs!J207*1/('(FnCalls 1)'!A47-'(FnCalls 1)'!A46)*OpExp!G114</f>
        <v>0</v>
      </c>
      <c r="I11" s="136">
        <f>H11</f>
        <v>0</v>
      </c>
    </row>
    <row r="12" spans="1:9" ht="12.75" customHeight="1" x14ac:dyDescent="0.2">
      <c r="A12" s="134" t="str">
        <f>"   "&amp;Labels!C180</f>
        <v xml:space="preserve">   Total</v>
      </c>
      <c r="B12" s="145">
        <f>SUM('(Tables)'!B303:B305)</f>
        <v>0</v>
      </c>
      <c r="C12" s="145">
        <f t="shared" ref="C12:H12" si="0">SUM(C9:C11)</f>
        <v>0</v>
      </c>
      <c r="D12" s="145">
        <f t="shared" si="0"/>
        <v>0</v>
      </c>
      <c r="E12" s="145">
        <f t="shared" si="0"/>
        <v>0</v>
      </c>
      <c r="F12" s="145">
        <f t="shared" si="0"/>
        <v>0</v>
      </c>
      <c r="G12" s="145">
        <f t="shared" si="0"/>
        <v>0</v>
      </c>
      <c r="H12" s="145">
        <f t="shared" si="0"/>
        <v>0</v>
      </c>
      <c r="I12" s="136">
        <f>SUM(H9:H11)</f>
        <v>0</v>
      </c>
    </row>
    <row r="13" spans="1:9" ht="12.75" customHeight="1" x14ac:dyDescent="0.2">
      <c r="A13" s="91"/>
      <c r="B13" s="6"/>
      <c r="C13" s="6"/>
      <c r="D13" s="6"/>
      <c r="E13" s="6"/>
      <c r="F13" s="6"/>
      <c r="G13" s="6"/>
      <c r="H13" s="6"/>
      <c r="I13" s="91"/>
    </row>
    <row r="14" spans="1:9" ht="12.75" customHeight="1" x14ac:dyDescent="0.2">
      <c r="A14" s="134" t="str">
        <f>Labels!B6</f>
        <v>Accts Payable Days</v>
      </c>
      <c r="B14" s="213"/>
      <c r="C14" s="213"/>
      <c r="D14" s="213"/>
      <c r="E14" s="213"/>
      <c r="F14" s="213"/>
      <c r="G14" s="213"/>
      <c r="H14" s="213"/>
      <c r="I14" s="214"/>
    </row>
    <row r="15" spans="1:9" ht="12.75" customHeight="1" x14ac:dyDescent="0.2">
      <c r="A15" s="142" t="str">
        <f>"   "&amp;Labels!B181</f>
        <v xml:space="preserve">   Vendor Payables</v>
      </c>
      <c r="B15" s="215"/>
      <c r="C15" s="215">
        <f>IF(IncStmt!B6=0,0,C9/(1/('(FnCalls 1)'!A42-'(FnCalls 1)'!A41))/IncStmt!B6)</f>
        <v>0</v>
      </c>
      <c r="D15" s="215">
        <f>IF(IncStmt!C6=0,0,D9/(1/('(FnCalls 1)'!A43-'(FnCalls 1)'!A42))/IncStmt!C6)</f>
        <v>0</v>
      </c>
      <c r="E15" s="215">
        <f>IF(IncStmt!D6=0,0,E9/(1/('(FnCalls 1)'!A44-'(FnCalls 1)'!A43))/IncStmt!D6)</f>
        <v>0</v>
      </c>
      <c r="F15" s="215">
        <f>IF(IncStmt!E6=0,0,F9/(1/('(FnCalls 1)'!A45-'(FnCalls 1)'!A44))/IncStmt!E6)</f>
        <v>0</v>
      </c>
      <c r="G15" s="215">
        <f>IF(IncStmt!F6=0,0,G9/(1/('(FnCalls 1)'!A46-'(FnCalls 1)'!A45))/IncStmt!F6)</f>
        <v>0</v>
      </c>
      <c r="H15" s="215">
        <f>IF(IncStmt!G6=0,0,H9/(1/('(FnCalls 1)'!A47-'(FnCalls 1)'!A46))/IncStmt!G6)</f>
        <v>0</v>
      </c>
      <c r="I15" s="214">
        <f>IF(SUM(IncStmt!B6:G6)=0,0,H9/(1/('(FnCalls 1)'!A48-'(FnCalls 1)'!A41))/SUM(IncStmt!B6:G6))</f>
        <v>0</v>
      </c>
    </row>
    <row r="16" spans="1:9" ht="12.75" customHeight="1" x14ac:dyDescent="0.2">
      <c r="A16" s="142" t="str">
        <f>"   "&amp;Labels!B182</f>
        <v xml:space="preserve">   Payroll Payables</v>
      </c>
      <c r="B16" s="215"/>
      <c r="C16" s="215">
        <f>IF(IncStmt!B6=0,0,C10/(1/('(FnCalls 1)'!A42-'(FnCalls 1)'!A41))/IncStmt!B6)</f>
        <v>0</v>
      </c>
      <c r="D16" s="215">
        <f>IF(IncStmt!C6=0,0,D10/(1/('(FnCalls 1)'!A43-'(FnCalls 1)'!A42))/IncStmt!C6)</f>
        <v>0</v>
      </c>
      <c r="E16" s="215">
        <f>IF(IncStmt!D6=0,0,E10/(1/('(FnCalls 1)'!A44-'(FnCalls 1)'!A43))/IncStmt!D6)</f>
        <v>0</v>
      </c>
      <c r="F16" s="215">
        <f>IF(IncStmt!E6=0,0,F10/(1/('(FnCalls 1)'!A45-'(FnCalls 1)'!A44))/IncStmt!E6)</f>
        <v>0</v>
      </c>
      <c r="G16" s="215">
        <f>IF(IncStmt!F6=0,0,G10/(1/('(FnCalls 1)'!A46-'(FnCalls 1)'!A45))/IncStmt!F6)</f>
        <v>0</v>
      </c>
      <c r="H16" s="215">
        <f>IF(IncStmt!G6=0,0,H10/(1/('(FnCalls 1)'!A47-'(FnCalls 1)'!A46))/IncStmt!G6)</f>
        <v>0</v>
      </c>
      <c r="I16" s="214">
        <f>IF(SUM(IncStmt!B6:G6)=0,0,H10/(1/('(FnCalls 1)'!A48-'(FnCalls 1)'!A41))/SUM(IncStmt!B6:G6))</f>
        <v>0</v>
      </c>
    </row>
    <row r="17" spans="1:9" ht="12.75" customHeight="1" x14ac:dyDescent="0.2">
      <c r="A17" s="142" t="str">
        <f>"   "&amp;Labels!B183</f>
        <v xml:space="preserve">   Taxes Payable</v>
      </c>
      <c r="B17" s="215"/>
      <c r="C17" s="215">
        <f>IF(IncStmt!B6=0,0,C11/(1/('(FnCalls 1)'!A42-'(FnCalls 1)'!A41))/IncStmt!B6)</f>
        <v>0</v>
      </c>
      <c r="D17" s="215">
        <f>IF(IncStmt!C6=0,0,D11/(1/('(FnCalls 1)'!A43-'(FnCalls 1)'!A42))/IncStmt!C6)</f>
        <v>0</v>
      </c>
      <c r="E17" s="215">
        <f>IF(IncStmt!D6=0,0,E11/(1/('(FnCalls 1)'!A44-'(FnCalls 1)'!A43))/IncStmt!D6)</f>
        <v>0</v>
      </c>
      <c r="F17" s="215">
        <f>IF(IncStmt!E6=0,0,F11/(1/('(FnCalls 1)'!A45-'(FnCalls 1)'!A44))/IncStmt!E6)</f>
        <v>0</v>
      </c>
      <c r="G17" s="215">
        <f>IF(IncStmt!F6=0,0,G11/(1/('(FnCalls 1)'!A46-'(FnCalls 1)'!A45))/IncStmt!F6)</f>
        <v>0</v>
      </c>
      <c r="H17" s="215">
        <f>IF(IncStmt!G6=0,0,H11/(1/('(FnCalls 1)'!A47-'(FnCalls 1)'!A46))/IncStmt!G6)</f>
        <v>0</v>
      </c>
      <c r="I17" s="214">
        <f>IF(SUM(IncStmt!B6:G6)=0,0,H11/(1/('(FnCalls 1)'!A48-'(FnCalls 1)'!A41))/SUM(IncStmt!B6:G6))</f>
        <v>0</v>
      </c>
    </row>
    <row r="18" spans="1:9" ht="12.75" customHeight="1" x14ac:dyDescent="0.2">
      <c r="A18" s="134" t="str">
        <f>"   "&amp;Labels!C180</f>
        <v xml:space="preserve">   Total</v>
      </c>
      <c r="B18" s="213"/>
      <c r="C18" s="213">
        <f>IF(IncStmt!B6=0,0,C12/(1/('(FnCalls 1)'!A42-'(FnCalls 1)'!A41))/IncStmt!B6)</f>
        <v>0</v>
      </c>
      <c r="D18" s="213">
        <f>IF(IncStmt!C6=0,0,D12/(1/('(FnCalls 1)'!A43-'(FnCalls 1)'!A42))/IncStmt!C6)</f>
        <v>0</v>
      </c>
      <c r="E18" s="213">
        <f>IF(IncStmt!D6=0,0,E12/(1/('(FnCalls 1)'!A44-'(FnCalls 1)'!A43))/IncStmt!D6)</f>
        <v>0</v>
      </c>
      <c r="F18" s="213">
        <f>IF(IncStmt!E6=0,0,F12/(1/('(FnCalls 1)'!A45-'(FnCalls 1)'!A44))/IncStmt!E6)</f>
        <v>0</v>
      </c>
      <c r="G18" s="213">
        <f>IF(IncStmt!F6=0,0,G12/(1/('(FnCalls 1)'!A46-'(FnCalls 1)'!A45))/IncStmt!F6)</f>
        <v>0</v>
      </c>
      <c r="H18" s="213">
        <f>IF(IncStmt!G6=0,0,H12/(1/('(FnCalls 1)'!A47-'(FnCalls 1)'!A46))/IncStmt!G6)</f>
        <v>0</v>
      </c>
      <c r="I18" s="214">
        <f>IF(SUM(IncStmt!B6:G6)=0,0,H12/(1/('(FnCalls 1)'!A48-'(FnCalls 1)'!A41))/SUM(IncStmt!B6:G6))</f>
        <v>0</v>
      </c>
    </row>
    <row r="19" spans="1:9" ht="12.75" customHeight="1" x14ac:dyDescent="0.2">
      <c r="A19" s="91"/>
      <c r="B19" s="6"/>
      <c r="C19" s="6"/>
      <c r="D19" s="6"/>
      <c r="E19" s="6"/>
      <c r="F19" s="6"/>
      <c r="G19" s="6"/>
      <c r="H19" s="6"/>
      <c r="I19" s="91"/>
    </row>
    <row r="20" spans="1:9" ht="12.75" customHeight="1" x14ac:dyDescent="0.2">
      <c r="A20" s="131" t="str">
        <f>Labels!B151</f>
        <v>Short Term Debt</v>
      </c>
      <c r="B20" s="127">
        <f>Inputs!D211</f>
        <v>0</v>
      </c>
      <c r="C20" s="127">
        <f>Inputs!E211</f>
        <v>0</v>
      </c>
      <c r="D20" s="127">
        <f>Inputs!F211</f>
        <v>0</v>
      </c>
      <c r="E20" s="127">
        <f>Inputs!G211</f>
        <v>0</v>
      </c>
      <c r="F20" s="127">
        <f>Inputs!H211</f>
        <v>0</v>
      </c>
      <c r="G20" s="127">
        <f>Inputs!I211</f>
        <v>0</v>
      </c>
      <c r="H20" s="127">
        <f>Inputs!J211</f>
        <v>0</v>
      </c>
      <c r="I20" s="146">
        <f>Inputs!J211</f>
        <v>0</v>
      </c>
    </row>
    <row r="23" spans="1:9" ht="12.75" customHeight="1" x14ac:dyDescent="0.2">
      <c r="A23" s="322" t="str">
        <f>"Long Term Liabilities"</f>
        <v>Long Term Liabilities</v>
      </c>
      <c r="B23" s="322"/>
    </row>
    <row r="24" spans="1:9" ht="12.75" customHeight="1" x14ac:dyDescent="0.2">
      <c r="A24" s="1" t="str">
        <f>""</f>
        <v/>
      </c>
    </row>
    <row r="25" spans="1:9" ht="12.75" customHeight="1" x14ac:dyDescent="0.2">
      <c r="B25" s="10" t="str">
        <f>'(FnCalls 1)'!H29</f>
        <v>2010</v>
      </c>
      <c r="C25" s="11" t="str">
        <f>'(FnCalls 1)'!F41</f>
        <v>MMM 2011</v>
      </c>
      <c r="D25" s="11" t="str">
        <f>'(FnCalls 1)'!F42</f>
        <v>MMM 2011</v>
      </c>
      <c r="E25" s="11" t="str">
        <f>'(FnCalls 1)'!F43</f>
        <v>MMM 2011</v>
      </c>
      <c r="F25" s="11" t="str">
        <f>'(FnCalls 1)'!F44</f>
        <v>MMM 2011</v>
      </c>
      <c r="G25" s="11" t="str">
        <f>'(FnCalls 1)'!F45</f>
        <v>MMM 2011</v>
      </c>
      <c r="H25" s="11" t="str">
        <f>'(FnCalls 1)'!F46</f>
        <v>MMM 2011</v>
      </c>
      <c r="I25" s="94" t="str">
        <f>'(FnCalls 1)'!H41</f>
        <v>2011</v>
      </c>
    </row>
    <row r="26" spans="1:9" ht="12.75" customHeight="1" x14ac:dyDescent="0.2">
      <c r="A26" s="91" t="str">
        <f>Labels!B99</f>
        <v>Long Term Loans</v>
      </c>
      <c r="B26" s="149">
        <f>Inputs!D218</f>
        <v>0</v>
      </c>
      <c r="C26" s="149">
        <f>Inputs!E218</f>
        <v>0</v>
      </c>
      <c r="D26" s="149">
        <f>Inputs!F218</f>
        <v>0</v>
      </c>
      <c r="E26" s="149">
        <f>Inputs!G218</f>
        <v>0</v>
      </c>
      <c r="F26" s="149">
        <f>Inputs!H218</f>
        <v>0</v>
      </c>
      <c r="G26" s="149">
        <f>Inputs!I218</f>
        <v>0</v>
      </c>
      <c r="H26" s="149">
        <f>Inputs!J218</f>
        <v>0</v>
      </c>
      <c r="I26" s="140">
        <f>Inputs!J218</f>
        <v>0</v>
      </c>
    </row>
  </sheetData>
  <mergeCells count="6">
    <mergeCell ref="A23:B23"/>
    <mergeCell ref="A1:D1"/>
    <mergeCell ref="A2:D2"/>
    <mergeCell ref="A3:D3"/>
    <mergeCell ref="A4:D4"/>
    <mergeCell ref="A5:B5"/>
  </mergeCells>
  <pageMargins left="0.25" right="0.25" top="0.5" bottom="0.5" header="0.5" footer="0.5"/>
  <pageSetup paperSize="9" fitToHeight="32767" orientation="landscape" horizontalDpi="300" verticalDpi="300"/>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I13"/>
  <sheetViews>
    <sheetView zoomScaleNormal="100" workbookViewId="0"/>
  </sheetViews>
  <sheetFormatPr defaultRowHeight="12.75" customHeight="1" x14ac:dyDescent="0.2"/>
  <cols>
    <col min="1" max="1" width="17.28515625" customWidth="1"/>
    <col min="2" max="2" width="5.42578125" customWidth="1"/>
    <col min="3" max="3" width="8.5703125" customWidth="1"/>
    <col min="4" max="4" width="8.7109375" customWidth="1"/>
    <col min="5" max="6" width="8.5703125" customWidth="1"/>
    <col min="7" max="7" width="8.85546875" customWidth="1"/>
    <col min="8" max="8" width="8.7109375" customWidth="1"/>
    <col min="9" max="9" width="5.42578125" customWidth="1"/>
  </cols>
  <sheetData>
    <row r="1" spans="1:9" ht="12.75" customHeight="1" x14ac:dyDescent="0.2">
      <c r="A1" s="320" t="str">
        <f>Inputs!D7</f>
        <v>ABC Corp.</v>
      </c>
      <c r="B1" s="320"/>
      <c r="C1" s="320"/>
      <c r="D1" s="320"/>
    </row>
    <row r="2" spans="1:9" ht="12.75" customHeight="1" x14ac:dyDescent="0.2">
      <c r="A2" s="320" t="e">
        <f>TEXT('(FnCalls 1)'!A41,"m/d/yyyy")&amp;" to "&amp;TEXT('(FnCalls 1)'!A47-1,"m/d/yyyy")&amp;", Scenario "&amp;1</f>
        <v>#VALUE!</v>
      </c>
      <c r="B2" s="320"/>
      <c r="C2" s="320"/>
      <c r="D2" s="320"/>
    </row>
    <row r="3" spans="1:9" ht="12.75" customHeight="1" x14ac:dyDescent="0.2">
      <c r="A3" s="320" t="str">
        <f>"Equity Detail"</f>
        <v>Equity Detail</v>
      </c>
      <c r="B3" s="320"/>
      <c r="C3" s="320"/>
      <c r="D3" s="320"/>
    </row>
    <row r="4" spans="1:9" ht="12.75" customHeight="1" x14ac:dyDescent="0.2">
      <c r="A4" s="320" t="str">
        <f>""</f>
        <v/>
      </c>
      <c r="B4" s="320"/>
      <c r="C4" s="320"/>
      <c r="D4" s="320"/>
    </row>
    <row r="5" spans="1:9" ht="12.75" customHeight="1" x14ac:dyDescent="0.2">
      <c r="B5" s="10" t="str">
        <f>'(FnCalls 1)'!H29</f>
        <v>2010</v>
      </c>
      <c r="C5" s="11" t="str">
        <f>'(FnCalls 1)'!F41</f>
        <v>MMM 2011</v>
      </c>
      <c r="D5" s="11" t="str">
        <f>'(FnCalls 1)'!F42</f>
        <v>MMM 2011</v>
      </c>
      <c r="E5" s="11" t="str">
        <f>'(FnCalls 1)'!F43</f>
        <v>MMM 2011</v>
      </c>
      <c r="F5" s="11" t="str">
        <f>'(FnCalls 1)'!F44</f>
        <v>MMM 2011</v>
      </c>
      <c r="G5" s="11" t="str">
        <f>'(FnCalls 1)'!F45</f>
        <v>MMM 2011</v>
      </c>
      <c r="H5" s="11" t="str">
        <f>'(FnCalls 1)'!F46</f>
        <v>MMM 2011</v>
      </c>
      <c r="I5" s="94" t="str">
        <f>'(FnCalls 1)'!H41</f>
        <v>2011</v>
      </c>
    </row>
    <row r="6" spans="1:9" ht="12.75" customHeight="1" x14ac:dyDescent="0.2">
      <c r="A6" s="128" t="str">
        <f>Labels!B67</f>
        <v>Equity</v>
      </c>
      <c r="B6" s="141"/>
      <c r="C6" s="141"/>
      <c r="D6" s="141"/>
      <c r="E6" s="141"/>
      <c r="F6" s="141"/>
      <c r="G6" s="141"/>
      <c r="H6" s="141"/>
      <c r="I6" s="130"/>
    </row>
    <row r="7" spans="1:9" ht="12.75" customHeight="1" x14ac:dyDescent="0.2">
      <c r="A7" s="142" t="str">
        <f>"   "&amp;Labels!B227</f>
        <v xml:space="preserve">   Paid in Capital</v>
      </c>
      <c r="B7" s="135">
        <f>'(Tables)'!B391</f>
        <v>0</v>
      </c>
      <c r="C7" s="135">
        <f>BalSht!C28</f>
        <v>0</v>
      </c>
      <c r="D7" s="135">
        <f>BalSht!D28</f>
        <v>0</v>
      </c>
      <c r="E7" s="135">
        <f>BalSht!E28</f>
        <v>0</v>
      </c>
      <c r="F7" s="135">
        <f>BalSht!F28</f>
        <v>0</v>
      </c>
      <c r="G7" s="135">
        <f>BalSht!G28</f>
        <v>0</v>
      </c>
      <c r="H7" s="135">
        <f>BalSht!H28</f>
        <v>0</v>
      </c>
      <c r="I7" s="136">
        <f>BalSht!H28</f>
        <v>0</v>
      </c>
    </row>
    <row r="8" spans="1:9" ht="12.75" customHeight="1" x14ac:dyDescent="0.2">
      <c r="A8" s="142" t="str">
        <f>"   "&amp;Labels!B228</f>
        <v xml:space="preserve">   Retained Earnings</v>
      </c>
      <c r="B8" s="135">
        <f>'(Tables)'!B392</f>
        <v>0</v>
      </c>
      <c r="C8" s="135">
        <f>BalSht!C29</f>
        <v>0</v>
      </c>
      <c r="D8" s="135">
        <f>BalSht!D29</f>
        <v>0</v>
      </c>
      <c r="E8" s="135">
        <f>BalSht!E29</f>
        <v>0</v>
      </c>
      <c r="F8" s="135">
        <f>BalSht!F29</f>
        <v>0</v>
      </c>
      <c r="G8" s="135">
        <f>BalSht!G29</f>
        <v>0</v>
      </c>
      <c r="H8" s="135">
        <f>BalSht!H29</f>
        <v>0</v>
      </c>
      <c r="I8" s="136">
        <f>BalSht!H29</f>
        <v>0</v>
      </c>
    </row>
    <row r="9" spans="1:9" ht="12.75" customHeight="1" x14ac:dyDescent="0.2">
      <c r="A9" s="134" t="str">
        <f>"   "&amp;Labels!C226</f>
        <v xml:space="preserve">   Total</v>
      </c>
      <c r="B9" s="145">
        <f>SUM('(Tables)'!B391:B392)</f>
        <v>0</v>
      </c>
      <c r="C9" s="145">
        <f t="shared" ref="C9:H9" si="0">SUM(C7:C8)</f>
        <v>0</v>
      </c>
      <c r="D9" s="145">
        <f t="shared" si="0"/>
        <v>0</v>
      </c>
      <c r="E9" s="145">
        <f t="shared" si="0"/>
        <v>0</v>
      </c>
      <c r="F9" s="145">
        <f t="shared" si="0"/>
        <v>0</v>
      </c>
      <c r="G9" s="145">
        <f t="shared" si="0"/>
        <v>0</v>
      </c>
      <c r="H9" s="145">
        <f t="shared" si="0"/>
        <v>0</v>
      </c>
      <c r="I9" s="136">
        <f>SUM(H7:H8)</f>
        <v>0</v>
      </c>
    </row>
    <row r="10" spans="1:9" ht="12.75" customHeight="1" x14ac:dyDescent="0.2">
      <c r="A10" s="91"/>
      <c r="B10" s="6"/>
      <c r="C10" s="6"/>
      <c r="D10" s="6"/>
      <c r="E10" s="6"/>
      <c r="F10" s="6"/>
      <c r="G10" s="6"/>
      <c r="H10" s="6"/>
      <c r="I10" s="91"/>
    </row>
    <row r="11" spans="1:9" ht="12.75" customHeight="1" x14ac:dyDescent="0.2">
      <c r="A11" s="131" t="str">
        <f>Labels!B104</f>
        <v>Net Stock Issue</v>
      </c>
      <c r="B11" s="127">
        <f>Inputs!D227</f>
        <v>0</v>
      </c>
      <c r="C11" s="127">
        <f>Inputs!E227</f>
        <v>0</v>
      </c>
      <c r="D11" s="127">
        <f>Inputs!F227</f>
        <v>0</v>
      </c>
      <c r="E11" s="127">
        <f>Inputs!G227</f>
        <v>0</v>
      </c>
      <c r="F11" s="127">
        <f>Inputs!H227</f>
        <v>0</v>
      </c>
      <c r="G11" s="127">
        <f>Inputs!I227</f>
        <v>0</v>
      </c>
      <c r="H11" s="127">
        <f>Inputs!J227</f>
        <v>0</v>
      </c>
      <c r="I11" s="146">
        <f>SUM(C11:H11)</f>
        <v>0</v>
      </c>
    </row>
    <row r="13" spans="1:9" ht="12.75" customHeight="1" x14ac:dyDescent="0.2">
      <c r="A13" s="91" t="str">
        <f>Labels!B60</f>
        <v>Dividend</v>
      </c>
      <c r="B13" s="149"/>
      <c r="C13" s="149">
        <f>Inputs!E229</f>
        <v>0</v>
      </c>
      <c r="D13" s="149">
        <f>Inputs!F229</f>
        <v>0</v>
      </c>
      <c r="E13" s="149">
        <f>Inputs!G229</f>
        <v>0</v>
      </c>
      <c r="F13" s="149">
        <f>Inputs!H229</f>
        <v>0</v>
      </c>
      <c r="G13" s="149">
        <f>Inputs!I229</f>
        <v>0</v>
      </c>
      <c r="H13" s="149">
        <f>Inputs!J229</f>
        <v>0</v>
      </c>
      <c r="I13" s="140">
        <f>SUM(C13:H13)</f>
        <v>0</v>
      </c>
    </row>
  </sheetData>
  <mergeCells count="4">
    <mergeCell ref="A1:D1"/>
    <mergeCell ref="A2:D2"/>
    <mergeCell ref="A3:D3"/>
    <mergeCell ref="A4:D4"/>
  </mergeCells>
  <pageMargins left="0.25" right="0.25" top="0.5" bottom="0.5" header="0.5" footer="0.5"/>
  <pageSetup paperSize="9" fitToHeight="32767" orientation="landscape" horizontalDpi="300" verticalDpi="300"/>
  <headerFooter alignWithMargins="0"/>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E386"/>
  <sheetViews>
    <sheetView zoomScaleNormal="100" workbookViewId="0"/>
  </sheetViews>
  <sheetFormatPr defaultRowHeight="12.75" customHeight="1" x14ac:dyDescent="0.2"/>
  <cols>
    <col min="1" max="1" width="27.85546875" customWidth="1"/>
    <col min="2" max="2" width="26.7109375" customWidth="1"/>
    <col min="3" max="3" width="33" customWidth="1"/>
    <col min="4" max="4" width="8" customWidth="1"/>
    <col min="5" max="5" width="255.7109375" customWidth="1"/>
  </cols>
  <sheetData>
    <row r="1" spans="1:5" ht="12.75" customHeight="1" x14ac:dyDescent="0.2">
      <c r="A1" s="320" t="str">
        <f>Inputs!D7</f>
        <v>ABC Corp.</v>
      </c>
      <c r="B1" s="320"/>
      <c r="C1" s="320"/>
      <c r="D1" s="320"/>
    </row>
    <row r="2" spans="1:5" ht="12.75" customHeight="1" x14ac:dyDescent="0.2">
      <c r="A2" s="320" t="e">
        <f>TEXT('(FnCalls 1)'!A41,"m/d/yyyy")&amp;" to "&amp;TEXT('(FnCalls 1)'!A47-1,"m/d/yyyy")&amp;", Scenario "&amp;1</f>
        <v>#VALUE!</v>
      </c>
      <c r="B2" s="320"/>
      <c r="C2" s="320"/>
      <c r="D2" s="320"/>
    </row>
    <row r="3" spans="1:5" ht="12.75" customHeight="1" x14ac:dyDescent="0.2">
      <c r="A3" s="209" t="s">
        <v>1044</v>
      </c>
      <c r="B3" s="209" t="s">
        <v>1027</v>
      </c>
      <c r="C3" s="209" t="s">
        <v>279</v>
      </c>
      <c r="D3" s="209"/>
      <c r="E3" s="209" t="s">
        <v>1185</v>
      </c>
    </row>
    <row r="4" spans="1:5" ht="12.75" customHeight="1" x14ac:dyDescent="0.2">
      <c r="A4" s="216" t="s">
        <v>1601</v>
      </c>
      <c r="B4" s="216" t="str">
        <f>Labels!B6</f>
        <v>Accts Payable Days</v>
      </c>
      <c r="C4" s="217" t="s">
        <v>338</v>
      </c>
      <c r="D4" s="218" t="s">
        <v>595</v>
      </c>
      <c r="E4" s="219" t="s">
        <v>1229</v>
      </c>
    </row>
    <row r="5" spans="1:5" ht="12.75" customHeight="1" x14ac:dyDescent="0.2">
      <c r="A5" s="6"/>
      <c r="B5" s="6"/>
      <c r="C5" s="220"/>
      <c r="D5" s="221"/>
      <c r="E5" s="6"/>
    </row>
    <row r="6" spans="1:5" ht="12.75" customHeight="1" x14ac:dyDescent="0.2">
      <c r="A6" s="216" t="s">
        <v>933</v>
      </c>
      <c r="B6" s="216" t="str">
        <f>Labels!B7</f>
        <v>Accts Pay Targ Days</v>
      </c>
      <c r="C6" s="217" t="s">
        <v>338</v>
      </c>
      <c r="D6" s="218" t="s">
        <v>376</v>
      </c>
      <c r="E6" s="219" t="s">
        <v>1080</v>
      </c>
    </row>
    <row r="7" spans="1:5" ht="12.75" customHeight="1" x14ac:dyDescent="0.2">
      <c r="A7" s="6"/>
      <c r="B7" s="6"/>
      <c r="C7" s="220"/>
      <c r="D7" s="221"/>
      <c r="E7" s="6"/>
    </row>
    <row r="8" spans="1:5" ht="12.75" customHeight="1" x14ac:dyDescent="0.2">
      <c r="A8" s="216" t="s">
        <v>389</v>
      </c>
      <c r="B8" s="216" t="str">
        <f>Labels!B8</f>
        <v>Accts Payable</v>
      </c>
      <c r="C8" s="217" t="s">
        <v>338</v>
      </c>
      <c r="D8" s="218" t="s">
        <v>376</v>
      </c>
      <c r="E8" s="219" t="s">
        <v>1096</v>
      </c>
    </row>
    <row r="9" spans="1:5" ht="12.75" customHeight="1" x14ac:dyDescent="0.2">
      <c r="A9" s="6"/>
      <c r="B9" s="6"/>
      <c r="C9" s="220"/>
      <c r="D9" s="221"/>
      <c r="E9" s="6"/>
    </row>
    <row r="10" spans="1:5" ht="12.75" customHeight="1" x14ac:dyDescent="0.2">
      <c r="A10" s="216" t="s">
        <v>1472</v>
      </c>
      <c r="B10" s="216" t="str">
        <f>Labels!B9</f>
        <v>Initial Accts Payable</v>
      </c>
      <c r="C10" s="217"/>
      <c r="D10" s="218"/>
      <c r="E10" s="219"/>
    </row>
    <row r="11" spans="1:5" ht="12.75" customHeight="1" x14ac:dyDescent="0.2">
      <c r="A11" s="6"/>
      <c r="B11" s="6"/>
      <c r="C11" s="220"/>
      <c r="D11" s="221"/>
      <c r="E11" s="6"/>
    </row>
    <row r="12" spans="1:5" ht="12.75" customHeight="1" x14ac:dyDescent="0.2">
      <c r="A12" s="216" t="s">
        <v>1094</v>
      </c>
      <c r="B12" s="216" t="str">
        <f>Labels!B10</f>
        <v>AR Days - Products</v>
      </c>
      <c r="C12" s="217" t="s">
        <v>1029</v>
      </c>
      <c r="D12" s="218" t="s">
        <v>376</v>
      </c>
      <c r="E12" s="219" t="s">
        <v>1640</v>
      </c>
    </row>
    <row r="13" spans="1:5" ht="12.75" customHeight="1" x14ac:dyDescent="0.2">
      <c r="A13" s="6"/>
      <c r="B13" s="6"/>
      <c r="C13" s="220"/>
      <c r="D13" s="221"/>
      <c r="E13" s="6"/>
    </row>
    <row r="14" spans="1:5" ht="12.75" customHeight="1" x14ac:dyDescent="0.2">
      <c r="A14" s="216" t="s">
        <v>471</v>
      </c>
      <c r="B14" s="216" t="str">
        <f>Labels!B11</f>
        <v>Initial AR - Products</v>
      </c>
      <c r="C14" s="217"/>
      <c r="D14" s="218"/>
      <c r="E14" s="219"/>
    </row>
    <row r="15" spans="1:5" ht="12.75" customHeight="1" x14ac:dyDescent="0.2">
      <c r="A15" s="6"/>
      <c r="B15" s="6"/>
      <c r="C15" s="220"/>
      <c r="D15" s="221"/>
      <c r="E15" s="6"/>
    </row>
    <row r="16" spans="1:5" ht="12.75" customHeight="1" x14ac:dyDescent="0.2">
      <c r="A16" s="216" t="s">
        <v>917</v>
      </c>
      <c r="B16" s="216" t="str">
        <f>Labels!B12</f>
        <v>Accounts Receivable</v>
      </c>
      <c r="C16" s="217" t="s">
        <v>1029</v>
      </c>
      <c r="D16" s="218" t="s">
        <v>376</v>
      </c>
      <c r="E16" s="219" t="s">
        <v>1189</v>
      </c>
    </row>
    <row r="17" spans="1:5" ht="12.75" customHeight="1" x14ac:dyDescent="0.2">
      <c r="A17" s="6"/>
      <c r="B17" s="6"/>
      <c r="C17" s="220"/>
      <c r="D17" s="221"/>
      <c r="E17" s="6"/>
    </row>
    <row r="18" spans="1:5" ht="12.75" customHeight="1" x14ac:dyDescent="0.2">
      <c r="A18" s="216" t="s">
        <v>1545</v>
      </c>
      <c r="B18" s="216" t="str">
        <f>Labels!B13</f>
        <v>Asset Turnover</v>
      </c>
      <c r="C18" s="217" t="s">
        <v>1029</v>
      </c>
      <c r="D18" s="218" t="s">
        <v>595</v>
      </c>
      <c r="E18" s="219" t="s">
        <v>591</v>
      </c>
    </row>
    <row r="19" spans="1:5" ht="12.75" customHeight="1" x14ac:dyDescent="0.2">
      <c r="A19" s="6"/>
      <c r="B19" s="6"/>
      <c r="C19" s="220"/>
      <c r="D19" s="221"/>
      <c r="E19" s="6"/>
    </row>
    <row r="20" spans="1:5" ht="12.75" customHeight="1" x14ac:dyDescent="0.2">
      <c r="A20" s="216" t="s">
        <v>900</v>
      </c>
      <c r="B20" s="216" t="str">
        <f>Labels!B14</f>
        <v>Assets</v>
      </c>
      <c r="C20" s="217" t="s">
        <v>1707</v>
      </c>
      <c r="D20" s="218" t="s">
        <v>376</v>
      </c>
      <c r="E20" s="219" t="s">
        <v>373</v>
      </c>
    </row>
    <row r="21" spans="1:5" ht="12.75" customHeight="1" x14ac:dyDescent="0.2">
      <c r="A21" s="216"/>
      <c r="B21" s="216"/>
      <c r="C21" s="217" t="s">
        <v>905</v>
      </c>
      <c r="D21" s="218" t="s">
        <v>376</v>
      </c>
      <c r="E21" s="219" t="s">
        <v>917</v>
      </c>
    </row>
    <row r="22" spans="1:5" ht="12.75" customHeight="1" x14ac:dyDescent="0.2">
      <c r="A22" s="216"/>
      <c r="B22" s="216"/>
      <c r="C22" s="217" t="s">
        <v>446</v>
      </c>
      <c r="D22" s="218" t="s">
        <v>376</v>
      </c>
      <c r="E22" s="219" t="s">
        <v>1150</v>
      </c>
    </row>
    <row r="23" spans="1:5" ht="12.75" customHeight="1" x14ac:dyDescent="0.2">
      <c r="A23" s="216"/>
      <c r="B23" s="216"/>
      <c r="C23" s="217" t="s">
        <v>1412</v>
      </c>
      <c r="D23" s="218" t="s">
        <v>376</v>
      </c>
      <c r="E23" s="219" t="s">
        <v>1321</v>
      </c>
    </row>
    <row r="24" spans="1:5" ht="12.75" customHeight="1" x14ac:dyDescent="0.2">
      <c r="A24" s="6"/>
      <c r="B24" s="6"/>
      <c r="C24" s="220"/>
      <c r="D24" s="221"/>
      <c r="E24" s="6"/>
    </row>
    <row r="25" spans="1:5" ht="12.75" customHeight="1" x14ac:dyDescent="0.2">
      <c r="A25" s="216" t="s">
        <v>1675</v>
      </c>
      <c r="B25" s="216" t="str">
        <f>Labels!B15</f>
        <v>Bad Debt Expense</v>
      </c>
      <c r="C25" s="217" t="s">
        <v>1029</v>
      </c>
      <c r="D25" s="218" t="s">
        <v>376</v>
      </c>
      <c r="E25" s="219" t="s">
        <v>614</v>
      </c>
    </row>
    <row r="26" spans="1:5" ht="12.75" customHeight="1" x14ac:dyDescent="0.2">
      <c r="A26" s="6"/>
      <c r="B26" s="6"/>
      <c r="C26" s="220"/>
      <c r="D26" s="221"/>
      <c r="E26" s="6"/>
    </row>
    <row r="27" spans="1:5" ht="12.75" customHeight="1" x14ac:dyDescent="0.2">
      <c r="A27" s="216" t="s">
        <v>930</v>
      </c>
      <c r="B27" s="216" t="str">
        <f>Labels!B16</f>
        <v>Bad Debt %</v>
      </c>
      <c r="C27" s="217" t="s">
        <v>1029</v>
      </c>
      <c r="D27" s="218" t="s">
        <v>376</v>
      </c>
      <c r="E27" s="219" t="s">
        <v>1266</v>
      </c>
    </row>
    <row r="28" spans="1:5" ht="12.75" customHeight="1" x14ac:dyDescent="0.2">
      <c r="A28" s="6"/>
      <c r="B28" s="6"/>
      <c r="C28" s="220"/>
      <c r="D28" s="221"/>
      <c r="E28" s="6"/>
    </row>
    <row r="29" spans="1:5" ht="12.75" customHeight="1" x14ac:dyDescent="0.2">
      <c r="A29" s="216" t="s">
        <v>334</v>
      </c>
      <c r="B29" s="216" t="str">
        <f>Labels!B17</f>
        <v>Balance Check</v>
      </c>
      <c r="C29" s="217" t="s">
        <v>1029</v>
      </c>
      <c r="D29" s="218" t="s">
        <v>376</v>
      </c>
      <c r="E29" s="219" t="s">
        <v>998</v>
      </c>
    </row>
    <row r="30" spans="1:5" ht="12.75" customHeight="1" x14ac:dyDescent="0.2">
      <c r="A30" s="6"/>
      <c r="B30" s="6"/>
      <c r="C30" s="220"/>
      <c r="D30" s="221"/>
      <c r="E30" s="6"/>
    </row>
    <row r="31" spans="1:5" ht="12.75" customHeight="1" x14ac:dyDescent="0.2">
      <c r="A31" s="216" t="s">
        <v>373</v>
      </c>
      <c r="B31" s="216" t="str">
        <f>Labels!B18</f>
        <v>Ending Cash</v>
      </c>
      <c r="C31" s="217" t="s">
        <v>1029</v>
      </c>
      <c r="D31" s="218" t="s">
        <v>376</v>
      </c>
      <c r="E31" s="219" t="s">
        <v>1769</v>
      </c>
    </row>
    <row r="32" spans="1:5" ht="12.75" customHeight="1" x14ac:dyDescent="0.2">
      <c r="A32" s="6"/>
      <c r="B32" s="6"/>
      <c r="C32" s="220"/>
      <c r="D32" s="221"/>
      <c r="E32" s="6"/>
    </row>
    <row r="33" spans="1:5" ht="12.75" customHeight="1" x14ac:dyDescent="0.2">
      <c r="A33" s="216" t="s">
        <v>820</v>
      </c>
      <c r="B33" s="216" t="str">
        <f>Labels!B19</f>
        <v>Cash Flow</v>
      </c>
      <c r="C33" s="217" t="s">
        <v>1029</v>
      </c>
      <c r="D33" s="218" t="s">
        <v>376</v>
      </c>
      <c r="E33" s="219" t="s">
        <v>521</v>
      </c>
    </row>
    <row r="34" spans="1:5" ht="12.75" customHeight="1" x14ac:dyDescent="0.2">
      <c r="A34" s="6"/>
      <c r="B34" s="6"/>
      <c r="C34" s="220"/>
      <c r="D34" s="221"/>
      <c r="E34" s="6"/>
    </row>
    <row r="35" spans="1:5" ht="12.75" customHeight="1" x14ac:dyDescent="0.2">
      <c r="A35" s="216" t="s">
        <v>69</v>
      </c>
      <c r="B35" s="216" t="str">
        <f>Labels!B20</f>
        <v>Cash Flow Check</v>
      </c>
      <c r="C35" s="217" t="s">
        <v>1029</v>
      </c>
      <c r="D35" s="218" t="s">
        <v>376</v>
      </c>
      <c r="E35" s="219" t="s">
        <v>1744</v>
      </c>
    </row>
    <row r="36" spans="1:5" ht="12.75" customHeight="1" x14ac:dyDescent="0.2">
      <c r="A36" s="6"/>
      <c r="B36" s="6"/>
      <c r="C36" s="220"/>
      <c r="D36" s="221"/>
      <c r="E36" s="6"/>
    </row>
    <row r="37" spans="1:5" ht="12.75" customHeight="1" x14ac:dyDescent="0.2">
      <c r="A37" s="216" t="s">
        <v>92</v>
      </c>
      <c r="B37" s="216" t="str">
        <f>Labels!B21</f>
        <v>Equity Cash Flow</v>
      </c>
      <c r="C37" s="217" t="s">
        <v>1029</v>
      </c>
      <c r="D37" s="218" t="s">
        <v>376</v>
      </c>
      <c r="E37" s="219" t="s">
        <v>1225</v>
      </c>
    </row>
    <row r="38" spans="1:5" ht="12.75" customHeight="1" x14ac:dyDescent="0.2">
      <c r="A38" s="6"/>
      <c r="B38" s="6"/>
      <c r="C38" s="220"/>
      <c r="D38" s="221"/>
      <c r="E38" s="6"/>
    </row>
    <row r="39" spans="1:5" ht="12.75" customHeight="1" x14ac:dyDescent="0.2">
      <c r="A39" s="216" t="s">
        <v>1148</v>
      </c>
      <c r="B39" s="216" t="str">
        <f>Labels!B22</f>
        <v>Cash Flow Expect Factor Future</v>
      </c>
      <c r="C39" s="217" t="s">
        <v>1029</v>
      </c>
      <c r="D39" s="218" t="s">
        <v>376</v>
      </c>
      <c r="E39" s="219" t="s">
        <v>1366</v>
      </c>
    </row>
    <row r="40" spans="1:5" ht="12.75" customHeight="1" x14ac:dyDescent="0.2">
      <c r="A40" s="6"/>
      <c r="B40" s="6"/>
      <c r="C40" s="220"/>
      <c r="D40" s="221"/>
      <c r="E40" s="6"/>
    </row>
    <row r="41" spans="1:5" ht="12.75" customHeight="1" x14ac:dyDescent="0.2">
      <c r="A41" s="216" t="s">
        <v>600</v>
      </c>
      <c r="B41" s="216" t="str">
        <f>Labels!B23</f>
        <v>Operating Cash Flow</v>
      </c>
      <c r="C41" s="217" t="s">
        <v>1029</v>
      </c>
      <c r="D41" s="218" t="s">
        <v>376</v>
      </c>
      <c r="E41" s="219" t="s">
        <v>237</v>
      </c>
    </row>
    <row r="42" spans="1:5" ht="12.75" customHeight="1" x14ac:dyDescent="0.2">
      <c r="A42" s="6"/>
      <c r="B42" s="6"/>
      <c r="C42" s="220"/>
      <c r="D42" s="221"/>
      <c r="E42" s="6"/>
    </row>
    <row r="43" spans="1:5" ht="12.75" customHeight="1" x14ac:dyDescent="0.2">
      <c r="A43" s="216" t="s">
        <v>1082</v>
      </c>
      <c r="B43" s="216" t="str">
        <f>Labels!B24</f>
        <v>Initial Cash</v>
      </c>
      <c r="C43" s="217"/>
      <c r="D43" s="218"/>
      <c r="E43" s="219"/>
    </row>
    <row r="44" spans="1:5" ht="12.75" customHeight="1" x14ac:dyDescent="0.2">
      <c r="A44" s="6"/>
      <c r="B44" s="6"/>
      <c r="C44" s="220"/>
      <c r="D44" s="221"/>
      <c r="E44" s="6"/>
    </row>
    <row r="45" spans="1:5" ht="12.75" customHeight="1" x14ac:dyDescent="0.2">
      <c r="A45" s="216" t="s">
        <v>1749</v>
      </c>
      <c r="B45" s="216" t="str">
        <f>Labels!B25</f>
        <v>Cash No Short Debt</v>
      </c>
      <c r="C45" s="217" t="s">
        <v>1029</v>
      </c>
      <c r="D45" s="218" t="s">
        <v>376</v>
      </c>
      <c r="E45" s="219" t="s">
        <v>1762</v>
      </c>
    </row>
    <row r="46" spans="1:5" ht="12.75" customHeight="1" x14ac:dyDescent="0.2">
      <c r="A46" s="6"/>
      <c r="B46" s="6"/>
      <c r="C46" s="220"/>
      <c r="D46" s="221"/>
      <c r="E46" s="6"/>
    </row>
    <row r="47" spans="1:5" ht="12.75" customHeight="1" x14ac:dyDescent="0.2">
      <c r="A47" s="216" t="s">
        <v>693</v>
      </c>
      <c r="B47" s="216" t="str">
        <f>Labels!B26</f>
        <v>Sources of Cash</v>
      </c>
      <c r="C47" s="217" t="s">
        <v>394</v>
      </c>
      <c r="D47" s="218" t="s">
        <v>376</v>
      </c>
      <c r="E47" s="219" t="s">
        <v>309</v>
      </c>
    </row>
    <row r="48" spans="1:5" ht="12.75" customHeight="1" x14ac:dyDescent="0.2">
      <c r="A48" s="216"/>
      <c r="B48" s="216"/>
      <c r="C48" s="217" t="s">
        <v>729</v>
      </c>
      <c r="D48" s="218" t="s">
        <v>376</v>
      </c>
      <c r="E48" s="219" t="s">
        <v>1816</v>
      </c>
    </row>
    <row r="49" spans="1:5" ht="12.75" customHeight="1" x14ac:dyDescent="0.2">
      <c r="A49" s="216"/>
      <c r="B49" s="216"/>
      <c r="C49" s="217" t="s">
        <v>1105</v>
      </c>
      <c r="D49" s="218" t="s">
        <v>376</v>
      </c>
      <c r="E49" s="219" t="s">
        <v>1123</v>
      </c>
    </row>
    <row r="50" spans="1:5" ht="12.75" customHeight="1" x14ac:dyDescent="0.2">
      <c r="A50" s="216"/>
      <c r="B50" s="216"/>
      <c r="C50" s="217" t="s">
        <v>861</v>
      </c>
      <c r="D50" s="218" t="s">
        <v>376</v>
      </c>
      <c r="E50" s="219" t="s">
        <v>896</v>
      </c>
    </row>
    <row r="51" spans="1:5" ht="12.75" customHeight="1" x14ac:dyDescent="0.2">
      <c r="A51" s="216"/>
      <c r="B51" s="216"/>
      <c r="C51" s="217" t="s">
        <v>1146</v>
      </c>
      <c r="D51" s="218" t="s">
        <v>376</v>
      </c>
      <c r="E51" s="219" t="s">
        <v>303</v>
      </c>
    </row>
    <row r="52" spans="1:5" ht="12.75" customHeight="1" x14ac:dyDescent="0.2">
      <c r="A52" s="216"/>
      <c r="B52" s="216"/>
      <c r="C52" s="217" t="s">
        <v>512</v>
      </c>
      <c r="D52" s="218" t="s">
        <v>376</v>
      </c>
      <c r="E52" s="219" t="s">
        <v>736</v>
      </c>
    </row>
    <row r="53" spans="1:5" ht="12.75" customHeight="1" x14ac:dyDescent="0.2">
      <c r="A53" s="216"/>
      <c r="B53" s="216"/>
      <c r="C53" s="217" t="s">
        <v>661</v>
      </c>
      <c r="D53" s="218" t="s">
        <v>376</v>
      </c>
      <c r="E53" s="219" t="s">
        <v>587</v>
      </c>
    </row>
    <row r="54" spans="1:5" ht="12.75" customHeight="1" x14ac:dyDescent="0.2">
      <c r="A54" s="216"/>
      <c r="B54" s="216"/>
      <c r="C54" s="217" t="s">
        <v>1028</v>
      </c>
      <c r="D54" s="218" t="s">
        <v>376</v>
      </c>
      <c r="E54" s="219" t="s">
        <v>200</v>
      </c>
    </row>
    <row r="55" spans="1:5" ht="12.75" customHeight="1" x14ac:dyDescent="0.2">
      <c r="A55" s="6"/>
      <c r="B55" s="6"/>
      <c r="C55" s="220"/>
      <c r="D55" s="221"/>
      <c r="E55" s="6"/>
    </row>
    <row r="56" spans="1:5" ht="12.75" customHeight="1" x14ac:dyDescent="0.2">
      <c r="A56" s="216" t="s">
        <v>607</v>
      </c>
      <c r="B56" s="216" t="str">
        <f>Labels!B27</f>
        <v>Starting Cash</v>
      </c>
      <c r="C56" s="217" t="s">
        <v>1029</v>
      </c>
      <c r="D56" s="218" t="s">
        <v>376</v>
      </c>
      <c r="E56" s="219" t="s">
        <v>1293</v>
      </c>
    </row>
    <row r="57" spans="1:5" ht="12.75" customHeight="1" x14ac:dyDescent="0.2">
      <c r="A57" s="6"/>
      <c r="B57" s="6"/>
      <c r="C57" s="220"/>
      <c r="D57" s="221"/>
      <c r="E57" s="6"/>
    </row>
    <row r="58" spans="1:5" ht="12.75" customHeight="1" x14ac:dyDescent="0.2">
      <c r="A58" s="216" t="s">
        <v>126</v>
      </c>
      <c r="B58" s="216" t="str">
        <f>Labels!B28</f>
        <v>Cash Target Days</v>
      </c>
      <c r="C58" s="217" t="s">
        <v>1029</v>
      </c>
      <c r="D58" s="218" t="s">
        <v>376</v>
      </c>
      <c r="E58" s="219" t="s">
        <v>1080</v>
      </c>
    </row>
    <row r="59" spans="1:5" ht="12.75" customHeight="1" x14ac:dyDescent="0.2">
      <c r="A59" s="6"/>
      <c r="B59" s="6"/>
      <c r="C59" s="220"/>
      <c r="D59" s="221"/>
      <c r="E59" s="6"/>
    </row>
    <row r="60" spans="1:5" ht="12.75" customHeight="1" x14ac:dyDescent="0.2">
      <c r="A60" s="216" t="s">
        <v>370</v>
      </c>
      <c r="B60" s="216" t="str">
        <f>Labels!B29</f>
        <v>Uses of Cash</v>
      </c>
      <c r="C60" s="217" t="s">
        <v>517</v>
      </c>
      <c r="D60" s="218" t="s">
        <v>376</v>
      </c>
      <c r="E60" s="219" t="s">
        <v>575</v>
      </c>
    </row>
    <row r="61" spans="1:5" ht="12.75" customHeight="1" x14ac:dyDescent="0.2">
      <c r="A61" s="216"/>
      <c r="B61" s="216"/>
      <c r="C61" s="217" t="s">
        <v>985</v>
      </c>
      <c r="D61" s="218" t="s">
        <v>376</v>
      </c>
      <c r="E61" s="219" t="s">
        <v>879</v>
      </c>
    </row>
    <row r="62" spans="1:5" ht="12.75" customHeight="1" x14ac:dyDescent="0.2">
      <c r="A62" s="216"/>
      <c r="B62" s="216"/>
      <c r="C62" s="217" t="s">
        <v>950</v>
      </c>
      <c r="D62" s="218" t="s">
        <v>376</v>
      </c>
      <c r="E62" s="219" t="s">
        <v>921</v>
      </c>
    </row>
    <row r="63" spans="1:5" ht="12.75" customHeight="1" x14ac:dyDescent="0.2">
      <c r="A63" s="216"/>
      <c r="B63" s="216"/>
      <c r="C63" s="217" t="s">
        <v>1766</v>
      </c>
      <c r="D63" s="218" t="s">
        <v>376</v>
      </c>
      <c r="E63" s="219" t="s">
        <v>263</v>
      </c>
    </row>
    <row r="64" spans="1:5" ht="12.75" customHeight="1" x14ac:dyDescent="0.2">
      <c r="A64" s="216"/>
      <c r="B64" s="216"/>
      <c r="C64" s="217" t="s">
        <v>1187</v>
      </c>
      <c r="D64" s="218" t="s">
        <v>376</v>
      </c>
      <c r="E64" s="219" t="s">
        <v>1700</v>
      </c>
    </row>
    <row r="65" spans="1:5" ht="12.75" customHeight="1" x14ac:dyDescent="0.2">
      <c r="A65" s="6"/>
      <c r="B65" s="6"/>
      <c r="C65" s="220"/>
      <c r="D65" s="221"/>
      <c r="E65" s="6"/>
    </row>
    <row r="66" spans="1:5" ht="12.75" customHeight="1" x14ac:dyDescent="0.2">
      <c r="A66" s="216" t="s">
        <v>1123</v>
      </c>
      <c r="B66" s="216" t="str">
        <f>Labels!B30</f>
        <v>Chg Accts Pay</v>
      </c>
      <c r="C66" s="217" t="s">
        <v>1029</v>
      </c>
      <c r="D66" s="218" t="s">
        <v>376</v>
      </c>
      <c r="E66" s="219" t="s">
        <v>232</v>
      </c>
    </row>
    <row r="67" spans="1:5" ht="12.75" customHeight="1" x14ac:dyDescent="0.2">
      <c r="A67" s="6"/>
      <c r="B67" s="6"/>
      <c r="C67" s="220"/>
      <c r="D67" s="221"/>
      <c r="E67" s="6"/>
    </row>
    <row r="68" spans="1:5" ht="12.75" customHeight="1" x14ac:dyDescent="0.2">
      <c r="A68" s="216" t="s">
        <v>575</v>
      </c>
      <c r="B68" s="216" t="str">
        <f>Labels!B31</f>
        <v>Chg Accts Rec</v>
      </c>
      <c r="C68" s="217" t="s">
        <v>1029</v>
      </c>
      <c r="D68" s="218" t="s">
        <v>376</v>
      </c>
      <c r="E68" s="219" t="s">
        <v>246</v>
      </c>
    </row>
    <row r="69" spans="1:5" ht="12.75" customHeight="1" x14ac:dyDescent="0.2">
      <c r="A69" s="6"/>
      <c r="B69" s="6"/>
      <c r="C69" s="220"/>
      <c r="D69" s="221"/>
      <c r="E69" s="6"/>
    </row>
    <row r="70" spans="1:5" ht="12.75" customHeight="1" x14ac:dyDescent="0.2">
      <c r="A70" s="216" t="s">
        <v>587</v>
      </c>
      <c r="B70" s="216" t="str">
        <f>Labels!B32</f>
        <v>Chg Bond Principal</v>
      </c>
      <c r="C70" s="217" t="s">
        <v>497</v>
      </c>
      <c r="D70" s="218" t="s">
        <v>376</v>
      </c>
      <c r="E70" s="219" t="s">
        <v>301</v>
      </c>
    </row>
    <row r="71" spans="1:5" ht="12.75" customHeight="1" x14ac:dyDescent="0.2">
      <c r="A71" s="6"/>
      <c r="B71" s="6"/>
      <c r="C71" s="220"/>
      <c r="D71" s="221"/>
      <c r="E71" s="6"/>
    </row>
    <row r="72" spans="1:5" ht="12.75" customHeight="1" x14ac:dyDescent="0.2">
      <c r="A72" s="216" t="s">
        <v>1300</v>
      </c>
      <c r="B72" s="216" t="str">
        <f>Labels!B33</f>
        <v>Chg Bond Principal</v>
      </c>
      <c r="C72" s="217" t="s">
        <v>497</v>
      </c>
      <c r="D72" s="218" t="s">
        <v>376</v>
      </c>
      <c r="E72" s="219" t="s">
        <v>587</v>
      </c>
    </row>
    <row r="73" spans="1:5" ht="12.75" customHeight="1" x14ac:dyDescent="0.2">
      <c r="A73" s="6"/>
      <c r="B73" s="6"/>
      <c r="C73" s="220"/>
      <c r="D73" s="221"/>
      <c r="E73" s="6"/>
    </row>
    <row r="74" spans="1:5" ht="12.75" customHeight="1" x14ac:dyDescent="0.2">
      <c r="A74" s="216" t="s">
        <v>879</v>
      </c>
      <c r="B74" s="216" t="str">
        <f>Labels!B34</f>
        <v>Chg Inventory</v>
      </c>
      <c r="C74" s="217" t="s">
        <v>1029</v>
      </c>
      <c r="D74" s="218" t="s">
        <v>376</v>
      </c>
      <c r="E74" s="219" t="s">
        <v>625</v>
      </c>
    </row>
    <row r="75" spans="1:5" ht="12.75" customHeight="1" x14ac:dyDescent="0.2">
      <c r="A75" s="6"/>
      <c r="B75" s="6"/>
      <c r="C75" s="220"/>
      <c r="D75" s="221"/>
      <c r="E75" s="6"/>
    </row>
    <row r="76" spans="1:5" ht="12.75" customHeight="1" x14ac:dyDescent="0.2">
      <c r="A76" s="216" t="s">
        <v>736</v>
      </c>
      <c r="B76" s="216" t="str">
        <f>Labels!B35</f>
        <v>Chg Long Debt</v>
      </c>
      <c r="C76" s="217" t="s">
        <v>1029</v>
      </c>
      <c r="D76" s="218" t="s">
        <v>376</v>
      </c>
      <c r="E76" s="219" t="s">
        <v>1771</v>
      </c>
    </row>
    <row r="77" spans="1:5" ht="12.75" customHeight="1" x14ac:dyDescent="0.2">
      <c r="A77" s="6"/>
      <c r="B77" s="6"/>
      <c r="C77" s="220"/>
      <c r="D77" s="221"/>
      <c r="E77" s="6"/>
    </row>
    <row r="78" spans="1:5" ht="12.75" customHeight="1" x14ac:dyDescent="0.2">
      <c r="A78" s="216" t="s">
        <v>896</v>
      </c>
      <c r="B78" s="216" t="str">
        <f>Labels!B36</f>
        <v>Chg Short Debt</v>
      </c>
      <c r="C78" s="217" t="s">
        <v>1029</v>
      </c>
      <c r="D78" s="218" t="s">
        <v>376</v>
      </c>
      <c r="E78" s="219" t="s">
        <v>1254</v>
      </c>
    </row>
    <row r="79" spans="1:5" ht="12.75" customHeight="1" x14ac:dyDescent="0.2">
      <c r="A79" s="6"/>
      <c r="B79" s="6"/>
      <c r="C79" s="220"/>
      <c r="D79" s="221"/>
      <c r="E79" s="6"/>
    </row>
    <row r="80" spans="1:5" ht="12.75" customHeight="1" x14ac:dyDescent="0.2">
      <c r="A80" s="216" t="s">
        <v>1678</v>
      </c>
      <c r="B80" s="216" t="str">
        <f>Labels!B37</f>
        <v>Company Name</v>
      </c>
      <c r="C80" s="217"/>
      <c r="D80" s="218"/>
      <c r="E80" s="219"/>
    </row>
    <row r="81" spans="1:5" ht="12.75" customHeight="1" x14ac:dyDescent="0.2">
      <c r="A81" s="6"/>
      <c r="B81" s="6"/>
      <c r="C81" s="220"/>
      <c r="D81" s="221"/>
      <c r="E81" s="6"/>
    </row>
    <row r="82" spans="1:5" ht="12.75" customHeight="1" x14ac:dyDescent="0.2">
      <c r="A82" s="216" t="s">
        <v>725</v>
      </c>
      <c r="B82" s="216" t="str">
        <f>Labels!B38</f>
        <v>Term (Yr)</v>
      </c>
      <c r="C82" s="217"/>
      <c r="D82" s="218"/>
      <c r="E82" s="219"/>
    </row>
    <row r="83" spans="1:5" ht="12.75" customHeight="1" x14ac:dyDescent="0.2">
      <c r="A83" s="6"/>
      <c r="B83" s="6"/>
      <c r="C83" s="220"/>
      <c r="D83" s="221"/>
      <c r="E83" s="6"/>
    </row>
    <row r="84" spans="1:5" ht="12.75" customHeight="1" x14ac:dyDescent="0.2">
      <c r="A84" s="216" t="s">
        <v>272</v>
      </c>
      <c r="B84" s="216" t="str">
        <f>Labels!B39</f>
        <v>Cost of Goods &amp; Services</v>
      </c>
      <c r="C84" s="217" t="s">
        <v>1662</v>
      </c>
      <c r="D84" s="218" t="s">
        <v>376</v>
      </c>
      <c r="E84" s="219" t="s">
        <v>403</v>
      </c>
    </row>
    <row r="85" spans="1:5" ht="12.75" customHeight="1" x14ac:dyDescent="0.2">
      <c r="A85" s="6"/>
      <c r="B85" s="6"/>
      <c r="C85" s="220"/>
      <c r="D85" s="221"/>
      <c r="E85" s="6"/>
    </row>
    <row r="86" spans="1:5" ht="12.75" customHeight="1" x14ac:dyDescent="0.2">
      <c r="A86" s="216" t="s">
        <v>1480</v>
      </c>
      <c r="B86" s="216" t="str">
        <f>Labels!B40</f>
        <v>Cost of Goods - Products</v>
      </c>
      <c r="C86" s="217" t="s">
        <v>1662</v>
      </c>
      <c r="D86" s="218" t="s">
        <v>376</v>
      </c>
      <c r="E86" s="219" t="s">
        <v>31</v>
      </c>
    </row>
    <row r="87" spans="1:5" ht="12.75" customHeight="1" x14ac:dyDescent="0.2">
      <c r="A87" s="6"/>
      <c r="B87" s="6"/>
      <c r="C87" s="220"/>
      <c r="D87" s="221"/>
      <c r="E87" s="6"/>
    </row>
    <row r="88" spans="1:5" ht="12.75" customHeight="1" x14ac:dyDescent="0.2">
      <c r="A88" s="216" t="s">
        <v>1653</v>
      </c>
      <c r="B88" s="216" t="str">
        <f>Labels!B41</f>
        <v>Current Ratio</v>
      </c>
      <c r="C88" s="217" t="s">
        <v>1029</v>
      </c>
      <c r="D88" s="218" t="s">
        <v>595</v>
      </c>
      <c r="E88" s="219" t="s">
        <v>983</v>
      </c>
    </row>
    <row r="89" spans="1:5" ht="12.75" customHeight="1" x14ac:dyDescent="0.2">
      <c r="A89" s="6"/>
      <c r="B89" s="6"/>
      <c r="C89" s="220"/>
      <c r="D89" s="221"/>
      <c r="E89" s="6"/>
    </row>
    <row r="90" spans="1:5" ht="12.75" customHeight="1" x14ac:dyDescent="0.2">
      <c r="A90" s="216" t="s">
        <v>1562</v>
      </c>
      <c r="B90" s="216" t="str">
        <f>Labels!B42</f>
        <v>Debt Ratio</v>
      </c>
      <c r="C90" s="217" t="s">
        <v>1029</v>
      </c>
      <c r="D90" s="218" t="s">
        <v>595</v>
      </c>
      <c r="E90" s="219" t="s">
        <v>1636</v>
      </c>
    </row>
    <row r="91" spans="1:5" ht="12.75" customHeight="1" x14ac:dyDescent="0.2">
      <c r="A91" s="6"/>
      <c r="B91" s="6"/>
      <c r="C91" s="220"/>
      <c r="D91" s="221"/>
      <c r="E91" s="6"/>
    </row>
    <row r="92" spans="1:5" ht="12.75" customHeight="1" x14ac:dyDescent="0.2">
      <c r="A92" s="216" t="s">
        <v>1463</v>
      </c>
      <c r="B92" s="216" t="str">
        <f>Labels!B43</f>
        <v>Depreciation</v>
      </c>
      <c r="C92" s="217" t="s">
        <v>1029</v>
      </c>
      <c r="D92" s="218" t="s">
        <v>376</v>
      </c>
      <c r="E92" s="219" t="s">
        <v>743</v>
      </c>
    </row>
    <row r="93" spans="1:5" ht="12.75" customHeight="1" x14ac:dyDescent="0.2">
      <c r="A93" s="6"/>
      <c r="B93" s="6"/>
      <c r="C93" s="220"/>
      <c r="D93" s="221"/>
      <c r="E93" s="6"/>
    </row>
    <row r="94" spans="1:5" ht="12.75" customHeight="1" x14ac:dyDescent="0.2">
      <c r="A94" s="216" t="s">
        <v>1459</v>
      </c>
      <c r="B94" s="216" t="str">
        <f>Labels!B44</f>
        <v>Depts</v>
      </c>
      <c r="C94" s="217" t="s">
        <v>1252</v>
      </c>
      <c r="D94" s="218" t="s">
        <v>376</v>
      </c>
      <c r="E94" s="219" t="s">
        <v>1217</v>
      </c>
    </row>
    <row r="95" spans="1:5" ht="12.75" customHeight="1" x14ac:dyDescent="0.2">
      <c r="A95" s="6"/>
      <c r="B95" s="6"/>
      <c r="C95" s="220"/>
      <c r="D95" s="221"/>
      <c r="E95" s="6"/>
    </row>
    <row r="96" spans="1:5" ht="12.75" customHeight="1" x14ac:dyDescent="0.2">
      <c r="A96" s="216" t="s">
        <v>1594</v>
      </c>
      <c r="B96" s="216" t="str">
        <f>Labels!B45</f>
        <v>Direct Labor Cost / U / Yr</v>
      </c>
      <c r="C96" s="217" t="s">
        <v>1277</v>
      </c>
      <c r="D96" s="218" t="s">
        <v>376</v>
      </c>
      <c r="E96" s="219" t="s">
        <v>1266</v>
      </c>
    </row>
    <row r="97" spans="1:5" ht="12.75" customHeight="1" x14ac:dyDescent="0.2">
      <c r="A97" s="6"/>
      <c r="B97" s="6"/>
      <c r="C97" s="220"/>
      <c r="D97" s="221"/>
      <c r="E97" s="6"/>
    </row>
    <row r="98" spans="1:5" ht="12.75" customHeight="1" x14ac:dyDescent="0.2">
      <c r="A98" s="216" t="s">
        <v>50</v>
      </c>
      <c r="B98" s="216" t="str">
        <f>Labels!B46</f>
        <v xml:space="preserve">Direct Labor Cost / U </v>
      </c>
      <c r="C98" s="217" t="s">
        <v>1645</v>
      </c>
      <c r="D98" s="218" t="s">
        <v>376</v>
      </c>
      <c r="E98" s="219" t="s">
        <v>921</v>
      </c>
    </row>
    <row r="99" spans="1:5" ht="12.75" customHeight="1" x14ac:dyDescent="0.2">
      <c r="A99" s="216"/>
      <c r="B99" s="216"/>
      <c r="C99" s="217" t="s">
        <v>231</v>
      </c>
      <c r="D99" s="218" t="s">
        <v>376</v>
      </c>
      <c r="E99" s="219" t="s">
        <v>915</v>
      </c>
    </row>
    <row r="100" spans="1:5" ht="12.75" customHeight="1" x14ac:dyDescent="0.2">
      <c r="A100" s="216"/>
      <c r="B100" s="216"/>
      <c r="C100" s="217"/>
      <c r="D100" s="218" t="s">
        <v>595</v>
      </c>
      <c r="E100" s="219" t="s">
        <v>348</v>
      </c>
    </row>
    <row r="101" spans="1:5" ht="12.75" customHeight="1" x14ac:dyDescent="0.2">
      <c r="A101" s="6"/>
      <c r="B101" s="6"/>
      <c r="C101" s="220"/>
      <c r="D101" s="221"/>
      <c r="E101" s="6"/>
    </row>
    <row r="102" spans="1:5" ht="12.75" customHeight="1" x14ac:dyDescent="0.2">
      <c r="A102" s="216" t="s">
        <v>1179</v>
      </c>
      <c r="B102" s="216" t="str">
        <f>Labels!B47</f>
        <v>Unapplied Direct Labor</v>
      </c>
      <c r="C102" s="217" t="s">
        <v>1647</v>
      </c>
      <c r="D102" s="218" t="s">
        <v>376</v>
      </c>
      <c r="E102" s="219" t="s">
        <v>1136</v>
      </c>
    </row>
    <row r="103" spans="1:5" ht="12.75" customHeight="1" x14ac:dyDescent="0.2">
      <c r="A103" s="6"/>
      <c r="B103" s="6"/>
      <c r="C103" s="220"/>
      <c r="D103" s="221"/>
      <c r="E103" s="6"/>
    </row>
    <row r="104" spans="1:5" ht="12.75" customHeight="1" x14ac:dyDescent="0.2">
      <c r="A104" s="216" t="s">
        <v>107</v>
      </c>
      <c r="B104" s="216" t="str">
        <f>Labels!B48</f>
        <v>Direct Labor Utilization %</v>
      </c>
      <c r="C104" s="217" t="s">
        <v>1647</v>
      </c>
      <c r="D104" s="218" t="s">
        <v>376</v>
      </c>
      <c r="E104" s="219" t="s">
        <v>1780</v>
      </c>
    </row>
    <row r="105" spans="1:5" ht="12.75" customHeight="1" x14ac:dyDescent="0.2">
      <c r="A105" s="6"/>
      <c r="B105" s="6"/>
      <c r="C105" s="220"/>
      <c r="D105" s="221"/>
      <c r="E105" s="6"/>
    </row>
    <row r="106" spans="1:5" ht="12.75" customHeight="1" x14ac:dyDescent="0.2">
      <c r="A106" s="216" t="s">
        <v>1586</v>
      </c>
      <c r="B106" s="216" t="str">
        <f>Labels!B49</f>
        <v>Dir Matl Cost / DM Unit</v>
      </c>
      <c r="C106" s="217" t="s">
        <v>158</v>
      </c>
      <c r="D106" s="218" t="s">
        <v>595</v>
      </c>
      <c r="E106" s="219" t="s">
        <v>1266</v>
      </c>
    </row>
    <row r="107" spans="1:5" ht="12.75" customHeight="1" x14ac:dyDescent="0.2">
      <c r="A107" s="6"/>
      <c r="B107" s="6"/>
      <c r="C107" s="220"/>
      <c r="D107" s="221"/>
      <c r="E107" s="6"/>
    </row>
    <row r="108" spans="1:5" ht="12.75" customHeight="1" x14ac:dyDescent="0.2">
      <c r="A108" s="216" t="s">
        <v>908</v>
      </c>
      <c r="B108" s="216" t="str">
        <f>Labels!B50</f>
        <v>Direct Material Cost / U</v>
      </c>
      <c r="C108" s="217" t="s">
        <v>778</v>
      </c>
      <c r="D108" s="218" t="s">
        <v>376</v>
      </c>
      <c r="E108" s="219" t="s">
        <v>140</v>
      </c>
    </row>
    <row r="109" spans="1:5" ht="12.75" customHeight="1" x14ac:dyDescent="0.2">
      <c r="A109" s="216"/>
      <c r="B109" s="216"/>
      <c r="C109" s="217"/>
      <c r="D109" s="218" t="s">
        <v>595</v>
      </c>
      <c r="E109" s="219" t="s">
        <v>1524</v>
      </c>
    </row>
    <row r="110" spans="1:5" ht="12.75" customHeight="1" x14ac:dyDescent="0.2">
      <c r="A110" s="6"/>
      <c r="B110" s="6"/>
      <c r="C110" s="220"/>
      <c r="D110" s="221"/>
      <c r="E110" s="6"/>
    </row>
    <row r="111" spans="1:5" ht="12.75" customHeight="1" x14ac:dyDescent="0.2">
      <c r="A111" s="216" t="s">
        <v>1618</v>
      </c>
      <c r="B111" s="216" t="str">
        <f>Labels!B51</f>
        <v>Dir Matl U / Prodn U</v>
      </c>
      <c r="C111" s="217" t="s">
        <v>778</v>
      </c>
      <c r="D111" s="218" t="s">
        <v>376</v>
      </c>
      <c r="E111" s="219" t="s">
        <v>1488</v>
      </c>
    </row>
    <row r="112" spans="1:5" ht="12.75" customHeight="1" x14ac:dyDescent="0.2">
      <c r="A112" s="6"/>
      <c r="B112" s="6"/>
      <c r="C112" s="220"/>
      <c r="D112" s="221"/>
      <c r="E112" s="6"/>
    </row>
    <row r="113" spans="1:5" ht="12.75" customHeight="1" x14ac:dyDescent="0.2">
      <c r="A113" s="216" t="s">
        <v>1251</v>
      </c>
      <c r="B113" s="216" t="str">
        <f>Labels!B52</f>
        <v>Dir Matl Units Used</v>
      </c>
      <c r="C113" s="217" t="s">
        <v>158</v>
      </c>
      <c r="D113" s="218" t="s">
        <v>376</v>
      </c>
      <c r="E113" s="219" t="s">
        <v>1582</v>
      </c>
    </row>
    <row r="114" spans="1:5" ht="12.75" customHeight="1" x14ac:dyDescent="0.2">
      <c r="A114" s="6"/>
      <c r="B114" s="6"/>
      <c r="C114" s="220"/>
      <c r="D114" s="221"/>
      <c r="E114" s="6"/>
    </row>
    <row r="115" spans="1:5" ht="12.75" customHeight="1" x14ac:dyDescent="0.2">
      <c r="A115" s="216" t="s">
        <v>1374</v>
      </c>
      <c r="B115" s="216" t="str">
        <f>Labels!B53</f>
        <v>Direct Overhead / U</v>
      </c>
      <c r="C115" s="217" t="s">
        <v>1277</v>
      </c>
      <c r="D115" s="218" t="s">
        <v>376</v>
      </c>
      <c r="E115" s="219" t="s">
        <v>412</v>
      </c>
    </row>
    <row r="116" spans="1:5" ht="12.75" customHeight="1" x14ac:dyDescent="0.2">
      <c r="A116" s="216"/>
      <c r="B116" s="216"/>
      <c r="C116" s="217"/>
      <c r="D116" s="218" t="s">
        <v>595</v>
      </c>
      <c r="E116" s="219" t="s">
        <v>256</v>
      </c>
    </row>
    <row r="117" spans="1:5" ht="12.75" customHeight="1" x14ac:dyDescent="0.2">
      <c r="A117" s="6"/>
      <c r="B117" s="6"/>
      <c r="C117" s="220"/>
      <c r="D117" s="221"/>
      <c r="E117" s="6"/>
    </row>
    <row r="118" spans="1:5" ht="12.75" customHeight="1" x14ac:dyDescent="0.2">
      <c r="A118" s="216" t="s">
        <v>494</v>
      </c>
      <c r="B118" s="216" t="str">
        <f>Labels!B54</f>
        <v>Direct Cost</v>
      </c>
      <c r="C118" s="217" t="s">
        <v>231</v>
      </c>
      <c r="D118" s="218" t="s">
        <v>376</v>
      </c>
      <c r="E118" s="219" t="s">
        <v>1829</v>
      </c>
    </row>
    <row r="119" spans="1:5" ht="12.75" customHeight="1" x14ac:dyDescent="0.2">
      <c r="A119" s="6"/>
      <c r="B119" s="6"/>
      <c r="C119" s="220"/>
      <c r="D119" s="221"/>
      <c r="E119" s="6"/>
    </row>
    <row r="120" spans="1:5" ht="12.75" customHeight="1" x14ac:dyDescent="0.2">
      <c r="A120" s="216" t="s">
        <v>0</v>
      </c>
      <c r="B120" s="216" t="str">
        <f>Labels!B55</f>
        <v>Direct Cost / U</v>
      </c>
      <c r="C120" s="217" t="s">
        <v>1645</v>
      </c>
      <c r="D120" s="218" t="s">
        <v>376</v>
      </c>
      <c r="E120" s="219" t="s">
        <v>921</v>
      </c>
    </row>
    <row r="121" spans="1:5" ht="12.75" customHeight="1" x14ac:dyDescent="0.2">
      <c r="A121" s="216"/>
      <c r="B121" s="216"/>
      <c r="C121" s="217" t="s">
        <v>375</v>
      </c>
      <c r="D121" s="218" t="s">
        <v>376</v>
      </c>
      <c r="E121" s="219" t="s">
        <v>1374</v>
      </c>
    </row>
    <row r="122" spans="1:5" ht="12.75" customHeight="1" x14ac:dyDescent="0.2">
      <c r="A122" s="216"/>
      <c r="B122" s="216"/>
      <c r="C122" s="217" t="s">
        <v>120</v>
      </c>
      <c r="D122" s="218" t="s">
        <v>376</v>
      </c>
      <c r="E122" s="219" t="s">
        <v>908</v>
      </c>
    </row>
    <row r="123" spans="1:5" ht="12.75" customHeight="1" x14ac:dyDescent="0.2">
      <c r="A123" s="216"/>
      <c r="B123" s="216"/>
      <c r="C123" s="217" t="s">
        <v>231</v>
      </c>
      <c r="D123" s="218" t="s">
        <v>376</v>
      </c>
      <c r="E123" s="219" t="s">
        <v>915</v>
      </c>
    </row>
    <row r="124" spans="1:5" ht="12.75" customHeight="1" x14ac:dyDescent="0.2">
      <c r="A124" s="216"/>
      <c r="B124" s="216"/>
      <c r="C124" s="217"/>
      <c r="D124" s="218" t="s">
        <v>595</v>
      </c>
      <c r="E124" s="219" t="s">
        <v>1268</v>
      </c>
    </row>
    <row r="125" spans="1:5" ht="12.75" customHeight="1" x14ac:dyDescent="0.2">
      <c r="A125" s="6"/>
      <c r="B125" s="6"/>
      <c r="C125" s="220"/>
      <c r="D125" s="221"/>
      <c r="E125" s="6"/>
    </row>
    <row r="126" spans="1:5" ht="12.75" customHeight="1" x14ac:dyDescent="0.2">
      <c r="A126" s="216" t="s">
        <v>1324</v>
      </c>
      <c r="B126" s="216" t="str">
        <f>Labels!B56</f>
        <v>Direct Cost - Products</v>
      </c>
      <c r="C126" s="217" t="s">
        <v>231</v>
      </c>
      <c r="D126" s="218" t="s">
        <v>376</v>
      </c>
      <c r="E126" s="219" t="s">
        <v>1154</v>
      </c>
    </row>
    <row r="127" spans="1:5" ht="12.75" customHeight="1" x14ac:dyDescent="0.2">
      <c r="A127" s="6"/>
      <c r="B127" s="6"/>
      <c r="C127" s="220"/>
      <c r="D127" s="221"/>
      <c r="E127" s="6"/>
    </row>
    <row r="128" spans="1:5" ht="12.75" customHeight="1" x14ac:dyDescent="0.2">
      <c r="A128" s="216" t="s">
        <v>1789</v>
      </c>
      <c r="B128" s="216" t="str">
        <f>Labels!B57</f>
        <v>Discount Factor</v>
      </c>
      <c r="C128" s="217" t="s">
        <v>1029</v>
      </c>
      <c r="D128" s="218" t="s">
        <v>376</v>
      </c>
      <c r="E128" s="219" t="s">
        <v>1809</v>
      </c>
    </row>
    <row r="129" spans="1:5" ht="12.75" customHeight="1" x14ac:dyDescent="0.2">
      <c r="A129" s="6"/>
      <c r="B129" s="6"/>
      <c r="C129" s="220"/>
      <c r="D129" s="221"/>
      <c r="E129" s="6"/>
    </row>
    <row r="130" spans="1:5" ht="12.75" customHeight="1" x14ac:dyDescent="0.2">
      <c r="A130" s="216" t="s">
        <v>1522</v>
      </c>
      <c r="B130" s="216" t="str">
        <f>Labels!B58</f>
        <v>Discount Rate</v>
      </c>
      <c r="C130" s="217" t="s">
        <v>1029</v>
      </c>
      <c r="D130" s="218" t="s">
        <v>376</v>
      </c>
      <c r="E130" s="219" t="s">
        <v>556</v>
      </c>
    </row>
    <row r="131" spans="1:5" ht="12.75" customHeight="1" x14ac:dyDescent="0.2">
      <c r="A131" s="6"/>
      <c r="B131" s="6"/>
      <c r="C131" s="220"/>
      <c r="D131" s="221"/>
      <c r="E131" s="6"/>
    </row>
    <row r="132" spans="1:5" ht="12.75" customHeight="1" x14ac:dyDescent="0.2">
      <c r="A132" s="216" t="s">
        <v>787</v>
      </c>
      <c r="B132" s="216" t="str">
        <f>Labels!B59</f>
        <v>Discount %/Yr, Direct</v>
      </c>
      <c r="C132" s="217" t="s">
        <v>1029</v>
      </c>
      <c r="D132" s="218" t="s">
        <v>376</v>
      </c>
      <c r="E132" s="219" t="s">
        <v>1266</v>
      </c>
    </row>
    <row r="133" spans="1:5" ht="12.75" customHeight="1" x14ac:dyDescent="0.2">
      <c r="A133" s="6"/>
      <c r="B133" s="6"/>
      <c r="C133" s="220"/>
      <c r="D133" s="221"/>
      <c r="E133" s="6"/>
    </row>
    <row r="134" spans="1:5" ht="12.75" customHeight="1" x14ac:dyDescent="0.2">
      <c r="A134" s="216" t="s">
        <v>263</v>
      </c>
      <c r="B134" s="216" t="str">
        <f>Labels!B60</f>
        <v>Dividend</v>
      </c>
      <c r="C134" s="217" t="s">
        <v>1029</v>
      </c>
      <c r="D134" s="218" t="s">
        <v>376</v>
      </c>
      <c r="E134" s="219" t="s">
        <v>1530</v>
      </c>
    </row>
    <row r="135" spans="1:5" ht="12.75" customHeight="1" x14ac:dyDescent="0.2">
      <c r="A135" s="6"/>
      <c r="B135" s="6"/>
      <c r="C135" s="220"/>
      <c r="D135" s="221"/>
      <c r="E135" s="6"/>
    </row>
    <row r="136" spans="1:5" ht="12.75" customHeight="1" x14ac:dyDescent="0.2">
      <c r="A136" s="216" t="s">
        <v>824</v>
      </c>
      <c r="B136" s="216" t="str">
        <f>Labels!B61</f>
        <v>Employee Bonus</v>
      </c>
      <c r="C136" s="217" t="s">
        <v>456</v>
      </c>
      <c r="D136" s="218" t="s">
        <v>376</v>
      </c>
      <c r="E136" s="219" t="s">
        <v>345</v>
      </c>
    </row>
    <row r="137" spans="1:5" ht="12.75" customHeight="1" x14ac:dyDescent="0.2">
      <c r="A137" s="6"/>
      <c r="B137" s="6"/>
      <c r="C137" s="220"/>
      <c r="D137" s="221"/>
      <c r="E137" s="6"/>
    </row>
    <row r="138" spans="1:5" ht="12.75" customHeight="1" x14ac:dyDescent="0.2">
      <c r="A138" s="216" t="s">
        <v>763</v>
      </c>
      <c r="B138" s="216" t="str">
        <f>Labels!B62</f>
        <v>Employee Bonus %</v>
      </c>
      <c r="C138" s="217" t="s">
        <v>456</v>
      </c>
      <c r="D138" s="218" t="s">
        <v>376</v>
      </c>
      <c r="E138" s="219" t="s">
        <v>1266</v>
      </c>
    </row>
    <row r="139" spans="1:5" ht="12.75" customHeight="1" x14ac:dyDescent="0.2">
      <c r="A139" s="6"/>
      <c r="B139" s="6"/>
      <c r="C139" s="220"/>
      <c r="D139" s="221"/>
      <c r="E139" s="6"/>
    </row>
    <row r="140" spans="1:5" ht="12.75" customHeight="1" x14ac:dyDescent="0.2">
      <c r="A140" s="216" t="s">
        <v>641</v>
      </c>
      <c r="B140" s="216" t="str">
        <f>Labels!B63</f>
        <v>Employee Count</v>
      </c>
      <c r="C140" s="217" t="s">
        <v>456</v>
      </c>
      <c r="D140" s="218" t="s">
        <v>376</v>
      </c>
      <c r="E140" s="219" t="s">
        <v>52</v>
      </c>
    </row>
    <row r="141" spans="1:5" ht="12.75" customHeight="1" x14ac:dyDescent="0.2">
      <c r="A141" s="6"/>
      <c r="B141" s="6"/>
      <c r="C141" s="220"/>
      <c r="D141" s="221"/>
      <c r="E141" s="6"/>
    </row>
    <row r="142" spans="1:5" ht="12.75" customHeight="1" x14ac:dyDescent="0.2">
      <c r="A142" s="216" t="s">
        <v>1319</v>
      </c>
      <c r="B142" s="216" t="str">
        <f>Labels!B64</f>
        <v>Employee Count</v>
      </c>
      <c r="C142" s="217" t="s">
        <v>456</v>
      </c>
      <c r="D142" s="218" t="s">
        <v>376</v>
      </c>
      <c r="E142" s="219" t="s">
        <v>642</v>
      </c>
    </row>
    <row r="143" spans="1:5" ht="12.75" customHeight="1" x14ac:dyDescent="0.2">
      <c r="A143" s="6"/>
      <c r="B143" s="6"/>
      <c r="C143" s="220"/>
      <c r="D143" s="221"/>
      <c r="E143" s="6"/>
    </row>
    <row r="144" spans="1:5" ht="12.75" customHeight="1" x14ac:dyDescent="0.2">
      <c r="A144" s="216" t="s">
        <v>1528</v>
      </c>
      <c r="B144" s="216" t="str">
        <f>Labels!B65</f>
        <v xml:space="preserve">Employees/Rev Million </v>
      </c>
      <c r="C144" s="217" t="s">
        <v>456</v>
      </c>
      <c r="D144" s="218" t="s">
        <v>595</v>
      </c>
      <c r="E144" s="219" t="s">
        <v>990</v>
      </c>
    </row>
    <row r="145" spans="1:5" ht="12.75" customHeight="1" x14ac:dyDescent="0.2">
      <c r="A145" s="6"/>
      <c r="B145" s="6"/>
      <c r="C145" s="220"/>
      <c r="D145" s="221"/>
      <c r="E145" s="6"/>
    </row>
    <row r="146" spans="1:5" ht="12.75" customHeight="1" x14ac:dyDescent="0.2">
      <c r="A146" s="216" t="s">
        <v>1581</v>
      </c>
      <c r="B146" s="216" t="str">
        <f>Labels!B66</f>
        <v>Employee Rel Exp</v>
      </c>
      <c r="C146" s="217" t="s">
        <v>632</v>
      </c>
      <c r="D146" s="218" t="s">
        <v>376</v>
      </c>
      <c r="E146" s="219" t="s">
        <v>499</v>
      </c>
    </row>
    <row r="147" spans="1:5" ht="12.75" customHeight="1" x14ac:dyDescent="0.2">
      <c r="A147" s="6"/>
      <c r="B147" s="6"/>
      <c r="C147" s="220"/>
      <c r="D147" s="221"/>
      <c r="E147" s="6"/>
    </row>
    <row r="148" spans="1:5" ht="12.75" customHeight="1" x14ac:dyDescent="0.2">
      <c r="A148" s="216" t="s">
        <v>458</v>
      </c>
      <c r="B148" s="216" t="str">
        <f>Labels!B67</f>
        <v>Equity</v>
      </c>
      <c r="C148" s="217" t="s">
        <v>709</v>
      </c>
      <c r="D148" s="218" t="s">
        <v>376</v>
      </c>
      <c r="E148" s="219" t="s">
        <v>999</v>
      </c>
    </row>
    <row r="149" spans="1:5" ht="12.75" customHeight="1" x14ac:dyDescent="0.2">
      <c r="A149" s="216"/>
      <c r="B149" s="216"/>
      <c r="C149" s="217" t="s">
        <v>885</v>
      </c>
      <c r="D149" s="218" t="s">
        <v>376</v>
      </c>
      <c r="E149" s="219" t="s">
        <v>242</v>
      </c>
    </row>
    <row r="150" spans="1:5" ht="12.75" customHeight="1" x14ac:dyDescent="0.2">
      <c r="A150" s="6"/>
      <c r="B150" s="6"/>
      <c r="C150" s="220"/>
      <c r="D150" s="221"/>
      <c r="E150" s="6"/>
    </row>
    <row r="151" spans="1:5" ht="12.75" customHeight="1" x14ac:dyDescent="0.2">
      <c r="A151" s="216" t="s">
        <v>593</v>
      </c>
      <c r="B151" s="216" t="str">
        <f>Labels!B68</f>
        <v>Other Facil Exp/Yr</v>
      </c>
      <c r="C151" s="217" t="s">
        <v>1029</v>
      </c>
      <c r="D151" s="218" t="s">
        <v>376</v>
      </c>
      <c r="E151" s="219" t="s">
        <v>1266</v>
      </c>
    </row>
    <row r="152" spans="1:5" ht="12.75" customHeight="1" x14ac:dyDescent="0.2">
      <c r="A152" s="6"/>
      <c r="B152" s="6"/>
      <c r="C152" s="220"/>
      <c r="D152" s="221"/>
      <c r="E152" s="6"/>
    </row>
    <row r="153" spans="1:5" ht="12.75" customHeight="1" x14ac:dyDescent="0.2">
      <c r="A153" s="216" t="s">
        <v>1335</v>
      </c>
      <c r="B153" s="216" t="str">
        <f>Labels!B69</f>
        <v>Facilities &amp; Utilities Exp</v>
      </c>
      <c r="C153" s="217" t="s">
        <v>1252</v>
      </c>
      <c r="D153" s="218" t="s">
        <v>376</v>
      </c>
      <c r="E153" s="219" t="s">
        <v>1038</v>
      </c>
    </row>
    <row r="154" spans="1:5" ht="12.75" customHeight="1" x14ac:dyDescent="0.2">
      <c r="A154" s="6"/>
      <c r="B154" s="6"/>
      <c r="C154" s="220"/>
      <c r="D154" s="221"/>
      <c r="E154" s="6"/>
    </row>
    <row r="155" spans="1:5" ht="12.75" customHeight="1" x14ac:dyDescent="0.2">
      <c r="A155" s="216" t="s">
        <v>49</v>
      </c>
      <c r="B155" s="216" t="str">
        <f>Labels!B70</f>
        <v>Financial Exp</v>
      </c>
      <c r="C155" s="217" t="s">
        <v>1029</v>
      </c>
      <c r="D155" s="218" t="s">
        <v>376</v>
      </c>
      <c r="E155" s="219" t="s">
        <v>1529</v>
      </c>
    </row>
    <row r="156" spans="1:5" ht="12.75" customHeight="1" x14ac:dyDescent="0.2">
      <c r="A156" s="6"/>
      <c r="B156" s="6"/>
      <c r="C156" s="220"/>
      <c r="D156" s="221"/>
      <c r="E156" s="6"/>
    </row>
    <row r="157" spans="1:5" ht="12.75" customHeight="1" x14ac:dyDescent="0.2">
      <c r="A157" s="216" t="s">
        <v>1257</v>
      </c>
      <c r="B157" s="216" t="str">
        <f>Labels!B71</f>
        <v>G&amp;A Exp Ratio</v>
      </c>
      <c r="C157" s="217" t="s">
        <v>1029</v>
      </c>
      <c r="D157" s="218" t="s">
        <v>376</v>
      </c>
      <c r="E157" s="219" t="s">
        <v>1664</v>
      </c>
    </row>
    <row r="158" spans="1:5" ht="12.75" customHeight="1" x14ac:dyDescent="0.2">
      <c r="A158" s="6"/>
      <c r="B158" s="6"/>
      <c r="C158" s="220"/>
      <c r="D158" s="221"/>
      <c r="E158" s="6"/>
    </row>
    <row r="159" spans="1:5" ht="12.75" customHeight="1" x14ac:dyDescent="0.2">
      <c r="A159" s="216" t="s">
        <v>1465</v>
      </c>
      <c r="B159" s="216" t="str">
        <f>Labels!B72</f>
        <v>Gen &amp; Admin Exp</v>
      </c>
      <c r="C159" s="217" t="s">
        <v>170</v>
      </c>
      <c r="D159" s="218" t="s">
        <v>376</v>
      </c>
      <c r="E159" s="219" t="s">
        <v>1541</v>
      </c>
    </row>
    <row r="160" spans="1:5" ht="12.75" customHeight="1" x14ac:dyDescent="0.2">
      <c r="A160" s="6"/>
      <c r="B160" s="6"/>
      <c r="C160" s="220"/>
      <c r="D160" s="221"/>
      <c r="E160" s="6"/>
    </row>
    <row r="161" spans="1:5" ht="12.75" customHeight="1" x14ac:dyDescent="0.2">
      <c r="A161" s="216" t="s">
        <v>1143</v>
      </c>
      <c r="B161" s="216" t="str">
        <f>Labels!B73</f>
        <v>Gen &amp; Admin Exp</v>
      </c>
      <c r="C161" s="217" t="s">
        <v>170</v>
      </c>
      <c r="D161" s="218" t="s">
        <v>376</v>
      </c>
      <c r="E161" s="219" t="s">
        <v>1729</v>
      </c>
    </row>
    <row r="162" spans="1:5" ht="12.75" customHeight="1" x14ac:dyDescent="0.2">
      <c r="A162" s="6"/>
      <c r="B162" s="6"/>
      <c r="C162" s="220"/>
      <c r="D162" s="221"/>
      <c r="E162" s="6"/>
    </row>
    <row r="163" spans="1:5" ht="12.75" customHeight="1" x14ac:dyDescent="0.2">
      <c r="A163" s="216" t="s">
        <v>108</v>
      </c>
      <c r="B163" s="216" t="str">
        <f>Labels!B74</f>
        <v>Gross Margin</v>
      </c>
      <c r="C163" s="217" t="s">
        <v>253</v>
      </c>
      <c r="D163" s="218" t="s">
        <v>376</v>
      </c>
      <c r="E163" s="219" t="s">
        <v>1704</v>
      </c>
    </row>
    <row r="164" spans="1:5" ht="12.75" customHeight="1" x14ac:dyDescent="0.2">
      <c r="A164" s="6"/>
      <c r="B164" s="6"/>
      <c r="C164" s="220"/>
      <c r="D164" s="221"/>
      <c r="E164" s="6"/>
    </row>
    <row r="165" spans="1:5" ht="12.75" customHeight="1" x14ac:dyDescent="0.2">
      <c r="A165" s="216" t="s">
        <v>408</v>
      </c>
      <c r="B165" s="216" t="str">
        <f>Labels!B75</f>
        <v>Gross Margin %</v>
      </c>
      <c r="C165" s="217" t="s">
        <v>253</v>
      </c>
      <c r="D165" s="218" t="s">
        <v>595</v>
      </c>
      <c r="E165" s="219" t="s">
        <v>76</v>
      </c>
    </row>
    <row r="166" spans="1:5" ht="12.75" customHeight="1" x14ac:dyDescent="0.2">
      <c r="A166" s="6"/>
      <c r="B166" s="6"/>
      <c r="C166" s="220"/>
      <c r="D166" s="221"/>
      <c r="E166" s="6"/>
    </row>
    <row r="167" spans="1:5" ht="12.75" customHeight="1" x14ac:dyDescent="0.2">
      <c r="A167" s="216" t="s">
        <v>1259</v>
      </c>
      <c r="B167" s="216" t="str">
        <f>Labels!B76</f>
        <v>Gross Margin - Products</v>
      </c>
      <c r="C167" s="217" t="s">
        <v>1352</v>
      </c>
      <c r="D167" s="218" t="s">
        <v>376</v>
      </c>
      <c r="E167" s="219" t="s">
        <v>912</v>
      </c>
    </row>
    <row r="168" spans="1:5" ht="12.75" customHeight="1" x14ac:dyDescent="0.2">
      <c r="A168" s="6"/>
      <c r="B168" s="6"/>
      <c r="C168" s="220"/>
      <c r="D168" s="221"/>
      <c r="E168" s="6"/>
    </row>
    <row r="169" spans="1:5" ht="12.75" customHeight="1" x14ac:dyDescent="0.2">
      <c r="A169" s="216" t="s">
        <v>1269</v>
      </c>
      <c r="B169" s="216" t="str">
        <f>Labels!B77</f>
        <v>Gross Margin % - Products</v>
      </c>
      <c r="C169" s="217" t="s">
        <v>1352</v>
      </c>
      <c r="D169" s="218" t="s">
        <v>595</v>
      </c>
      <c r="E169" s="219" t="s">
        <v>203</v>
      </c>
    </row>
    <row r="170" spans="1:5" ht="12.75" customHeight="1" x14ac:dyDescent="0.2">
      <c r="A170" s="6"/>
      <c r="B170" s="6"/>
      <c r="C170" s="220"/>
      <c r="D170" s="221"/>
      <c r="E170" s="6"/>
    </row>
    <row r="171" spans="1:5" ht="12.75" customHeight="1" x14ac:dyDescent="0.2">
      <c r="A171" s="216" t="s">
        <v>987</v>
      </c>
      <c r="B171" s="216" t="str">
        <f>Labels!B78</f>
        <v>Income Tax</v>
      </c>
      <c r="C171" s="217" t="s">
        <v>1029</v>
      </c>
      <c r="D171" s="218" t="s">
        <v>376</v>
      </c>
      <c r="E171" s="219" t="s">
        <v>1635</v>
      </c>
    </row>
    <row r="172" spans="1:5" ht="12.75" customHeight="1" x14ac:dyDescent="0.2">
      <c r="A172" s="6"/>
      <c r="B172" s="6"/>
      <c r="C172" s="220"/>
      <c r="D172" s="221"/>
      <c r="E172" s="6"/>
    </row>
    <row r="173" spans="1:5" ht="12.75" customHeight="1" x14ac:dyDescent="0.2">
      <c r="A173" s="216" t="s">
        <v>1533</v>
      </c>
      <c r="B173" s="216" t="str">
        <f>Labels!B79</f>
        <v>Income Tax Rate</v>
      </c>
      <c r="C173" s="217" t="s">
        <v>1029</v>
      </c>
      <c r="D173" s="218" t="s">
        <v>376</v>
      </c>
      <c r="E173" s="219" t="s">
        <v>1266</v>
      </c>
    </row>
    <row r="174" spans="1:5" ht="12.75" customHeight="1" x14ac:dyDescent="0.2">
      <c r="A174" s="6"/>
      <c r="B174" s="6"/>
      <c r="C174" s="220"/>
      <c r="D174" s="221"/>
      <c r="E174" s="6"/>
    </row>
    <row r="175" spans="1:5" ht="12.75" customHeight="1" x14ac:dyDescent="0.2">
      <c r="A175" s="216" t="s">
        <v>871</v>
      </c>
      <c r="B175" s="216" t="str">
        <f>Labels!B80</f>
        <v>Indirect Labor Expense</v>
      </c>
      <c r="C175" s="217" t="s">
        <v>456</v>
      </c>
      <c r="D175" s="218" t="s">
        <v>376</v>
      </c>
      <c r="E175" s="219" t="s">
        <v>1209</v>
      </c>
    </row>
    <row r="176" spans="1:5" ht="12.75" customHeight="1" x14ac:dyDescent="0.2">
      <c r="A176" s="6"/>
      <c r="B176" s="6"/>
      <c r="C176" s="220"/>
      <c r="D176" s="221"/>
      <c r="E176" s="6"/>
    </row>
    <row r="177" spans="1:5" ht="12.75" customHeight="1" x14ac:dyDescent="0.2">
      <c r="A177" s="216" t="s">
        <v>294</v>
      </c>
      <c r="B177" s="216" t="str">
        <f>Labels!B81</f>
        <v>Net Interest Expense</v>
      </c>
      <c r="C177" s="217" t="s">
        <v>1029</v>
      </c>
      <c r="D177" s="218" t="s">
        <v>376</v>
      </c>
      <c r="E177" s="219" t="s">
        <v>421</v>
      </c>
    </row>
    <row r="178" spans="1:5" ht="12.75" customHeight="1" x14ac:dyDescent="0.2">
      <c r="A178" s="6"/>
      <c r="B178" s="6"/>
      <c r="C178" s="220"/>
      <c r="D178" s="221"/>
      <c r="E178" s="6"/>
    </row>
    <row r="179" spans="1:5" ht="12.75" customHeight="1" x14ac:dyDescent="0.2">
      <c r="A179" s="216" t="s">
        <v>1576</v>
      </c>
      <c r="B179" s="216" t="str">
        <f>Labels!B82</f>
        <v>Interest Earned %/Yr</v>
      </c>
      <c r="C179" s="217" t="s">
        <v>1029</v>
      </c>
      <c r="D179" s="218" t="s">
        <v>376</v>
      </c>
      <c r="E179" s="219" t="s">
        <v>1266</v>
      </c>
    </row>
    <row r="180" spans="1:5" ht="12.75" customHeight="1" x14ac:dyDescent="0.2">
      <c r="A180" s="6"/>
      <c r="B180" s="6"/>
      <c r="C180" s="220"/>
      <c r="D180" s="221"/>
      <c r="E180" s="6"/>
    </row>
    <row r="181" spans="1:5" ht="12.75" customHeight="1" x14ac:dyDescent="0.2">
      <c r="A181" s="216" t="s">
        <v>1210</v>
      </c>
      <c r="B181" s="216" t="str">
        <f>Labels!B83</f>
        <v>Long Interest %/Yr</v>
      </c>
      <c r="C181" s="217" t="s">
        <v>1029</v>
      </c>
      <c r="D181" s="218" t="s">
        <v>376</v>
      </c>
      <c r="E181" s="219" t="s">
        <v>1266</v>
      </c>
    </row>
    <row r="182" spans="1:5" ht="12.75" customHeight="1" x14ac:dyDescent="0.2">
      <c r="A182" s="6"/>
      <c r="B182" s="6"/>
      <c r="C182" s="220"/>
      <c r="D182" s="221"/>
      <c r="E182" s="6"/>
    </row>
    <row r="183" spans="1:5" ht="12.75" customHeight="1" x14ac:dyDescent="0.2">
      <c r="A183" s="216" t="s">
        <v>511</v>
      </c>
      <c r="B183" s="216" t="str">
        <f>Labels!B84</f>
        <v>Short Interest %/Yr</v>
      </c>
      <c r="C183" s="217" t="s">
        <v>1029</v>
      </c>
      <c r="D183" s="218" t="s">
        <v>376</v>
      </c>
      <c r="E183" s="219" t="s">
        <v>1266</v>
      </c>
    </row>
    <row r="184" spans="1:5" ht="12.75" customHeight="1" x14ac:dyDescent="0.2">
      <c r="A184" s="6"/>
      <c r="B184" s="6"/>
      <c r="C184" s="220"/>
      <c r="D184" s="221"/>
      <c r="E184" s="6"/>
    </row>
    <row r="185" spans="1:5" ht="12.75" customHeight="1" x14ac:dyDescent="0.2">
      <c r="A185" s="216" t="s">
        <v>436</v>
      </c>
      <c r="B185" s="216" t="str">
        <f>Labels!B85</f>
        <v>Finished Inventory Value</v>
      </c>
      <c r="C185" s="217" t="s">
        <v>1277</v>
      </c>
      <c r="D185" s="218" t="s">
        <v>376</v>
      </c>
      <c r="E185" s="219" t="s">
        <v>305</v>
      </c>
    </row>
    <row r="186" spans="1:5" ht="12.75" customHeight="1" x14ac:dyDescent="0.2">
      <c r="A186" s="6"/>
      <c r="B186" s="6"/>
      <c r="C186" s="220"/>
      <c r="D186" s="221"/>
      <c r="E186" s="6"/>
    </row>
    <row r="187" spans="1:5" ht="12.75" customHeight="1" x14ac:dyDescent="0.2">
      <c r="A187" s="216" t="s">
        <v>839</v>
      </c>
      <c r="B187" s="216" t="str">
        <f>Labels!B86</f>
        <v>Initial FG Inventory</v>
      </c>
      <c r="C187" s="217"/>
      <c r="D187" s="218"/>
      <c r="E187" s="219"/>
    </row>
    <row r="188" spans="1:5" ht="12.75" customHeight="1" x14ac:dyDescent="0.2">
      <c r="A188" s="6"/>
      <c r="B188" s="6"/>
      <c r="C188" s="220"/>
      <c r="D188" s="221"/>
      <c r="E188" s="6"/>
    </row>
    <row r="189" spans="1:5" ht="12.75" customHeight="1" x14ac:dyDescent="0.2">
      <c r="A189" s="216" t="s">
        <v>1013</v>
      </c>
      <c r="B189" s="216" t="str">
        <f>Labels!B87</f>
        <v>FG Inventory Targ Days</v>
      </c>
      <c r="C189" s="217" t="s">
        <v>1277</v>
      </c>
      <c r="D189" s="218" t="s">
        <v>376</v>
      </c>
      <c r="E189" s="219" t="s">
        <v>1080</v>
      </c>
    </row>
    <row r="190" spans="1:5" ht="12.75" customHeight="1" x14ac:dyDescent="0.2">
      <c r="A190" s="216"/>
      <c r="B190" s="216"/>
      <c r="C190" s="217"/>
      <c r="D190" s="218" t="s">
        <v>595</v>
      </c>
      <c r="E190" s="219" t="s">
        <v>836</v>
      </c>
    </row>
    <row r="191" spans="1:5" ht="12.75" customHeight="1" x14ac:dyDescent="0.2">
      <c r="A191" s="6"/>
      <c r="B191" s="6"/>
      <c r="C191" s="220"/>
      <c r="D191" s="221"/>
      <c r="E191" s="6"/>
    </row>
    <row r="192" spans="1:5" ht="12.75" customHeight="1" x14ac:dyDescent="0.2">
      <c r="A192" s="216" t="s">
        <v>440</v>
      </c>
      <c r="B192" s="216" t="str">
        <f>Labels!B88</f>
        <v>Finished Inventory Turnover (Yr)</v>
      </c>
      <c r="C192" s="217" t="s">
        <v>1277</v>
      </c>
      <c r="D192" s="218" t="s">
        <v>595</v>
      </c>
      <c r="E192" s="219" t="s">
        <v>769</v>
      </c>
    </row>
    <row r="193" spans="1:5" ht="12.75" customHeight="1" x14ac:dyDescent="0.2">
      <c r="A193" s="6"/>
      <c r="B193" s="6"/>
      <c r="C193" s="220"/>
      <c r="D193" s="221"/>
      <c r="E193" s="6"/>
    </row>
    <row r="194" spans="1:5" ht="12.75" customHeight="1" x14ac:dyDescent="0.2">
      <c r="A194" s="216" t="s">
        <v>136</v>
      </c>
      <c r="B194" s="216" t="str">
        <f>Labels!B89</f>
        <v>Finished Inventory (U)</v>
      </c>
      <c r="C194" s="217" t="s">
        <v>1277</v>
      </c>
      <c r="D194" s="218" t="s">
        <v>376</v>
      </c>
      <c r="E194" s="219" t="s">
        <v>473</v>
      </c>
    </row>
    <row r="195" spans="1:5" ht="12.75" customHeight="1" x14ac:dyDescent="0.2">
      <c r="A195" s="6"/>
      <c r="B195" s="6"/>
      <c r="C195" s="220"/>
      <c r="D195" s="221"/>
      <c r="E195" s="6"/>
    </row>
    <row r="196" spans="1:5" ht="12.75" customHeight="1" x14ac:dyDescent="0.2">
      <c r="A196" s="216" t="s">
        <v>14</v>
      </c>
      <c r="B196" s="216" t="str">
        <f>Labels!B90</f>
        <v>Initial FG Inventory U</v>
      </c>
      <c r="C196" s="217"/>
      <c r="D196" s="218"/>
      <c r="E196" s="219"/>
    </row>
    <row r="197" spans="1:5" ht="12.75" customHeight="1" x14ac:dyDescent="0.2">
      <c r="A197" s="6"/>
      <c r="B197" s="6"/>
      <c r="C197" s="220"/>
      <c r="D197" s="221"/>
      <c r="E197" s="6"/>
    </row>
    <row r="198" spans="1:5" ht="12.75" customHeight="1" x14ac:dyDescent="0.2">
      <c r="A198" s="216" t="s">
        <v>1118</v>
      </c>
      <c r="B198" s="216" t="str">
        <f>Labels!B91</f>
        <v>Raw Matl Inventory</v>
      </c>
      <c r="C198" s="217" t="s">
        <v>158</v>
      </c>
      <c r="D198" s="218" t="s">
        <v>376</v>
      </c>
      <c r="E198" s="219" t="s">
        <v>692</v>
      </c>
    </row>
    <row r="199" spans="1:5" ht="12.75" customHeight="1" x14ac:dyDescent="0.2">
      <c r="A199" s="6"/>
      <c r="B199" s="6"/>
      <c r="C199" s="220"/>
      <c r="D199" s="221"/>
      <c r="E199" s="6"/>
    </row>
    <row r="200" spans="1:5" ht="12.75" customHeight="1" x14ac:dyDescent="0.2">
      <c r="A200" s="216" t="s">
        <v>830</v>
      </c>
      <c r="B200" s="216" t="str">
        <f>Labels!B92</f>
        <v>Initial Raw Inventory</v>
      </c>
      <c r="C200" s="217" t="s">
        <v>158</v>
      </c>
      <c r="D200" s="218" t="s">
        <v>376</v>
      </c>
      <c r="E200" s="219" t="s">
        <v>1046</v>
      </c>
    </row>
    <row r="201" spans="1:5" ht="12.75" customHeight="1" x14ac:dyDescent="0.2">
      <c r="A201" s="6"/>
      <c r="B201" s="6"/>
      <c r="C201" s="220"/>
      <c r="D201" s="221"/>
      <c r="E201" s="6"/>
    </row>
    <row r="202" spans="1:5" ht="12.75" customHeight="1" x14ac:dyDescent="0.2">
      <c r="A202" s="216" t="s">
        <v>1632</v>
      </c>
      <c r="B202" s="216" t="str">
        <f>Labels!B93</f>
        <v>Raw Matl Inventory Units</v>
      </c>
      <c r="C202" s="217" t="s">
        <v>158</v>
      </c>
      <c r="D202" s="218" t="s">
        <v>376</v>
      </c>
      <c r="E202" s="219" t="s">
        <v>1450</v>
      </c>
    </row>
    <row r="203" spans="1:5" ht="12.75" customHeight="1" x14ac:dyDescent="0.2">
      <c r="A203" s="6"/>
      <c r="B203" s="6"/>
      <c r="C203" s="220"/>
      <c r="D203" s="221"/>
      <c r="E203" s="6"/>
    </row>
    <row r="204" spans="1:5" ht="12.75" customHeight="1" x14ac:dyDescent="0.2">
      <c r="A204" s="216" t="s">
        <v>1634</v>
      </c>
      <c r="B204" s="216" t="str">
        <f>Labels!B94</f>
        <v>Initial Raw Matl Units</v>
      </c>
      <c r="C204" s="217"/>
      <c r="D204" s="218"/>
      <c r="E204" s="219"/>
    </row>
    <row r="205" spans="1:5" ht="12.75" customHeight="1" x14ac:dyDescent="0.2">
      <c r="A205" s="6"/>
      <c r="B205" s="6"/>
      <c r="C205" s="220"/>
      <c r="D205" s="221"/>
      <c r="E205" s="6"/>
    </row>
    <row r="206" spans="1:5" ht="12.75" customHeight="1" x14ac:dyDescent="0.2">
      <c r="A206" s="216" t="s">
        <v>635</v>
      </c>
      <c r="B206" s="216" t="str">
        <f>Labels!B95</f>
        <v>Raw Inventory Targ Days</v>
      </c>
      <c r="C206" s="217" t="s">
        <v>158</v>
      </c>
      <c r="D206" s="218" t="s">
        <v>376</v>
      </c>
      <c r="E206" s="219" t="s">
        <v>1080</v>
      </c>
    </row>
    <row r="207" spans="1:5" ht="12.75" customHeight="1" x14ac:dyDescent="0.2">
      <c r="A207" s="6"/>
      <c r="B207" s="6"/>
      <c r="C207" s="220"/>
      <c r="D207" s="221"/>
      <c r="E207" s="6"/>
    </row>
    <row r="208" spans="1:5" ht="12.75" customHeight="1" x14ac:dyDescent="0.2">
      <c r="A208" s="216" t="s">
        <v>1198</v>
      </c>
      <c r="B208" s="216" t="str">
        <f>Labels!B96</f>
        <v>Liabilities</v>
      </c>
      <c r="C208" s="217" t="s">
        <v>314</v>
      </c>
      <c r="D208" s="218" t="s">
        <v>376</v>
      </c>
      <c r="E208" s="219" t="s">
        <v>921</v>
      </c>
    </row>
    <row r="209" spans="1:5" ht="12.75" customHeight="1" x14ac:dyDescent="0.2">
      <c r="A209" s="216"/>
      <c r="B209" s="216"/>
      <c r="C209" s="217" t="s">
        <v>1035</v>
      </c>
      <c r="D209" s="218" t="s">
        <v>376</v>
      </c>
      <c r="E209" s="219" t="s">
        <v>653</v>
      </c>
    </row>
    <row r="210" spans="1:5" ht="12.75" customHeight="1" x14ac:dyDescent="0.2">
      <c r="A210" s="216"/>
      <c r="B210" s="216"/>
      <c r="C210" s="217" t="s">
        <v>1523</v>
      </c>
      <c r="D210" s="218" t="s">
        <v>376</v>
      </c>
      <c r="E210" s="219" t="s">
        <v>1681</v>
      </c>
    </row>
    <row r="211" spans="1:5" ht="12.75" customHeight="1" x14ac:dyDescent="0.2">
      <c r="A211" s="216"/>
      <c r="B211" s="216"/>
      <c r="C211" s="217" t="s">
        <v>1756</v>
      </c>
      <c r="D211" s="218" t="s">
        <v>376</v>
      </c>
      <c r="E211" s="219" t="s">
        <v>1264</v>
      </c>
    </row>
    <row r="212" spans="1:5" ht="12.75" customHeight="1" x14ac:dyDescent="0.2">
      <c r="A212" s="216"/>
      <c r="B212" s="216"/>
      <c r="C212" s="217" t="s">
        <v>1802</v>
      </c>
      <c r="D212" s="218" t="s">
        <v>376</v>
      </c>
      <c r="E212" s="219" t="s">
        <v>389</v>
      </c>
    </row>
    <row r="213" spans="1:5" ht="12.75" customHeight="1" x14ac:dyDescent="0.2">
      <c r="A213" s="6"/>
      <c r="B213" s="6"/>
      <c r="C213" s="220"/>
      <c r="D213" s="221"/>
      <c r="E213" s="6"/>
    </row>
    <row r="214" spans="1:5" ht="12.75" customHeight="1" x14ac:dyDescent="0.2">
      <c r="A214" s="216" t="s">
        <v>1700</v>
      </c>
      <c r="B214" s="216" t="str">
        <f>Labels!B97</f>
        <v>Long Asset Purch</v>
      </c>
      <c r="C214" s="217" t="s">
        <v>1029</v>
      </c>
      <c r="D214" s="218" t="s">
        <v>376</v>
      </c>
      <c r="E214" s="219" t="s">
        <v>525</v>
      </c>
    </row>
    <row r="215" spans="1:5" ht="12.75" customHeight="1" x14ac:dyDescent="0.2">
      <c r="A215" s="6"/>
      <c r="B215" s="6"/>
      <c r="C215" s="220"/>
      <c r="D215" s="221"/>
      <c r="E215" s="6"/>
    </row>
    <row r="216" spans="1:5" ht="12.75" customHeight="1" x14ac:dyDescent="0.2">
      <c r="A216" s="216" t="s">
        <v>1321</v>
      </c>
      <c r="B216" s="216" t="str">
        <f>Labels!B98</f>
        <v>Long Term Assets</v>
      </c>
      <c r="C216" s="217" t="s">
        <v>1029</v>
      </c>
      <c r="D216" s="218" t="s">
        <v>376</v>
      </c>
      <c r="E216" s="219" t="s">
        <v>1311</v>
      </c>
    </row>
    <row r="217" spans="1:5" ht="12.75" customHeight="1" x14ac:dyDescent="0.2">
      <c r="A217" s="6"/>
      <c r="B217" s="6"/>
      <c r="C217" s="220"/>
      <c r="D217" s="221"/>
      <c r="E217" s="6"/>
    </row>
    <row r="218" spans="1:5" ht="12.75" customHeight="1" x14ac:dyDescent="0.2">
      <c r="A218" s="216" t="s">
        <v>1264</v>
      </c>
      <c r="B218" s="216" t="str">
        <f>Labels!B99</f>
        <v>Long Term Loans</v>
      </c>
      <c r="C218" s="217" t="s">
        <v>1029</v>
      </c>
      <c r="D218" s="218" t="s">
        <v>376</v>
      </c>
      <c r="E218" s="219" t="s">
        <v>1266</v>
      </c>
    </row>
    <row r="219" spans="1:5" ht="12.75" customHeight="1" x14ac:dyDescent="0.2">
      <c r="A219" s="6"/>
      <c r="B219" s="6"/>
      <c r="C219" s="220"/>
      <c r="D219" s="221"/>
      <c r="E219" s="6"/>
    </row>
    <row r="220" spans="1:5" ht="12.75" customHeight="1" x14ac:dyDescent="0.2">
      <c r="A220" s="216" t="s">
        <v>756</v>
      </c>
      <c r="B220" s="216" t="str">
        <f>Labels!B100</f>
        <v>Loss Carry Forward</v>
      </c>
      <c r="C220" s="217" t="s">
        <v>1029</v>
      </c>
      <c r="D220" s="218" t="s">
        <v>376</v>
      </c>
      <c r="E220" s="219" t="s">
        <v>1386</v>
      </c>
    </row>
    <row r="221" spans="1:5" ht="12.75" customHeight="1" x14ac:dyDescent="0.2">
      <c r="A221" s="6"/>
      <c r="B221" s="6"/>
      <c r="C221" s="220"/>
      <c r="D221" s="221"/>
      <c r="E221" s="6"/>
    </row>
    <row r="222" spans="1:5" ht="12.75" customHeight="1" x14ac:dyDescent="0.2">
      <c r="A222" s="216" t="s">
        <v>1438</v>
      </c>
      <c r="B222" s="216" t="str">
        <f>Labels!B101</f>
        <v>Mktg Exp Ratio</v>
      </c>
      <c r="C222" s="217" t="s">
        <v>1029</v>
      </c>
      <c r="D222" s="218" t="s">
        <v>376</v>
      </c>
      <c r="E222" s="219" t="s">
        <v>487</v>
      </c>
    </row>
    <row r="223" spans="1:5" ht="12.75" customHeight="1" x14ac:dyDescent="0.2">
      <c r="A223" s="6"/>
      <c r="B223" s="6"/>
      <c r="C223" s="220"/>
      <c r="D223" s="221"/>
      <c r="E223" s="6"/>
    </row>
    <row r="224" spans="1:5" ht="12.75" customHeight="1" x14ac:dyDescent="0.2">
      <c r="A224" s="216" t="s">
        <v>1122</v>
      </c>
      <c r="B224" s="216" t="str">
        <f>Labels!B102</f>
        <v>Mktg Expense</v>
      </c>
      <c r="C224" s="217" t="s">
        <v>1029</v>
      </c>
      <c r="D224" s="218" t="s">
        <v>376</v>
      </c>
      <c r="E224" s="219" t="s">
        <v>1575</v>
      </c>
    </row>
    <row r="225" spans="1:5" ht="12.75" customHeight="1" x14ac:dyDescent="0.2">
      <c r="A225" s="6"/>
      <c r="B225" s="6"/>
      <c r="C225" s="220"/>
      <c r="D225" s="221"/>
      <c r="E225" s="6"/>
    </row>
    <row r="226" spans="1:5" ht="12.75" customHeight="1" x14ac:dyDescent="0.2">
      <c r="A226" s="216" t="s">
        <v>1816</v>
      </c>
      <c r="B226" s="216" t="str">
        <f>Labels!B103</f>
        <v>Net Income</v>
      </c>
      <c r="C226" s="217" t="s">
        <v>1029</v>
      </c>
      <c r="D226" s="218" t="s">
        <v>376</v>
      </c>
      <c r="E226" s="219" t="s">
        <v>1258</v>
      </c>
    </row>
    <row r="227" spans="1:5" ht="12.75" customHeight="1" x14ac:dyDescent="0.2">
      <c r="A227" s="6"/>
      <c r="B227" s="6"/>
      <c r="C227" s="220"/>
      <c r="D227" s="221"/>
      <c r="E227" s="6"/>
    </row>
    <row r="228" spans="1:5" ht="12.75" customHeight="1" x14ac:dyDescent="0.2">
      <c r="A228" s="216" t="s">
        <v>200</v>
      </c>
      <c r="B228" s="216" t="str">
        <f>Labels!B104</f>
        <v>Net Stock Issue</v>
      </c>
      <c r="C228" s="217" t="s">
        <v>1029</v>
      </c>
      <c r="D228" s="218" t="s">
        <v>376</v>
      </c>
      <c r="E228" s="219" t="s">
        <v>921</v>
      </c>
    </row>
    <row r="229" spans="1:5" ht="12.75" customHeight="1" x14ac:dyDescent="0.2">
      <c r="A229" s="6"/>
      <c r="B229" s="6"/>
      <c r="C229" s="220"/>
      <c r="D229" s="221"/>
      <c r="E229" s="6"/>
    </row>
    <row r="230" spans="1:5" ht="12.75" customHeight="1" x14ac:dyDescent="0.2">
      <c r="A230" s="216" t="s">
        <v>110</v>
      </c>
      <c r="B230" s="216" t="str">
        <f>Labels!B105</f>
        <v>Net Stock Issue</v>
      </c>
      <c r="C230" s="217" t="s">
        <v>1029</v>
      </c>
      <c r="D230" s="218" t="s">
        <v>376</v>
      </c>
      <c r="E230" s="219" t="s">
        <v>200</v>
      </c>
    </row>
    <row r="231" spans="1:5" ht="12.75" customHeight="1" x14ac:dyDescent="0.2">
      <c r="A231" s="6"/>
      <c r="B231" s="6"/>
      <c r="C231" s="220"/>
      <c r="D231" s="221"/>
      <c r="E231" s="6"/>
    </row>
    <row r="232" spans="1:5" ht="12.75" customHeight="1" x14ac:dyDescent="0.2">
      <c r="A232" s="216" t="s">
        <v>842</v>
      </c>
      <c r="B232" s="216" t="str">
        <f>Labels!B106</f>
        <v>Maint ($/sqft/Yr)</v>
      </c>
      <c r="C232" s="217" t="s">
        <v>1029</v>
      </c>
      <c r="D232" s="218" t="s">
        <v>376</v>
      </c>
      <c r="E232" s="219" t="s">
        <v>1266</v>
      </c>
    </row>
    <row r="233" spans="1:5" ht="12.75" customHeight="1" x14ac:dyDescent="0.2">
      <c r="A233" s="6"/>
      <c r="B233" s="6"/>
      <c r="C233" s="220"/>
      <c r="D233" s="221"/>
      <c r="E233" s="6"/>
    </row>
    <row r="234" spans="1:5" ht="12.75" customHeight="1" x14ac:dyDescent="0.2">
      <c r="A234" s="216" t="s">
        <v>869</v>
      </c>
      <c r="B234" s="216" t="str">
        <f>Labels!B107</f>
        <v>Rent ($/sqft/Yr)</v>
      </c>
      <c r="C234" s="217" t="s">
        <v>1029</v>
      </c>
      <c r="D234" s="218" t="s">
        <v>376</v>
      </c>
      <c r="E234" s="219" t="s">
        <v>1266</v>
      </c>
    </row>
    <row r="235" spans="1:5" ht="12.75" customHeight="1" x14ac:dyDescent="0.2">
      <c r="A235" s="6"/>
      <c r="B235" s="6"/>
      <c r="C235" s="220"/>
      <c r="D235" s="221"/>
      <c r="E235" s="6"/>
    </row>
    <row r="236" spans="1:5" ht="12.75" customHeight="1" x14ac:dyDescent="0.2">
      <c r="A236" s="216" t="s">
        <v>954</v>
      </c>
      <c r="B236" s="216" t="str">
        <f>Labels!B108</f>
        <v>Space (Sqft/Person)</v>
      </c>
      <c r="C236" s="217" t="s">
        <v>1029</v>
      </c>
      <c r="D236" s="218" t="s">
        <v>376</v>
      </c>
      <c r="E236" s="219" t="s">
        <v>1266</v>
      </c>
    </row>
    <row r="237" spans="1:5" ht="12.75" customHeight="1" x14ac:dyDescent="0.2">
      <c r="A237" s="6"/>
      <c r="B237" s="6"/>
      <c r="C237" s="220"/>
      <c r="D237" s="221"/>
      <c r="E237" s="6"/>
    </row>
    <row r="238" spans="1:5" ht="12.75" customHeight="1" x14ac:dyDescent="0.2">
      <c r="A238" s="216" t="s">
        <v>1784</v>
      </c>
      <c r="B238" s="216" t="str">
        <f>Labels!B109</f>
        <v>Utilities ($/sqft/Yr)</v>
      </c>
      <c r="C238" s="217" t="s">
        <v>1029</v>
      </c>
      <c r="D238" s="218" t="s">
        <v>376</v>
      </c>
      <c r="E238" s="219" t="s">
        <v>1266</v>
      </c>
    </row>
    <row r="239" spans="1:5" ht="12.75" customHeight="1" x14ac:dyDescent="0.2">
      <c r="A239" s="6"/>
      <c r="B239" s="6"/>
      <c r="C239" s="220"/>
      <c r="D239" s="221"/>
      <c r="E239" s="6"/>
    </row>
    <row r="240" spans="1:5" ht="12.75" customHeight="1" x14ac:dyDescent="0.2">
      <c r="A240" s="216" t="s">
        <v>326</v>
      </c>
      <c r="B240" s="216" t="str">
        <f>Labels!B110</f>
        <v>Oper Exp Ratio</v>
      </c>
      <c r="C240" s="217" t="s">
        <v>1029</v>
      </c>
      <c r="D240" s="218" t="s">
        <v>376</v>
      </c>
      <c r="E240" s="219" t="s">
        <v>1156</v>
      </c>
    </row>
    <row r="241" spans="1:5" ht="12.75" customHeight="1" x14ac:dyDescent="0.2">
      <c r="A241" s="6"/>
      <c r="B241" s="6"/>
      <c r="C241" s="220"/>
      <c r="D241" s="221"/>
      <c r="E241" s="6"/>
    </row>
    <row r="242" spans="1:5" ht="12.75" customHeight="1" x14ac:dyDescent="0.2">
      <c r="A242" s="216" t="s">
        <v>383</v>
      </c>
      <c r="B242" s="216" t="str">
        <f>Labels!B111</f>
        <v>Operating Expense</v>
      </c>
      <c r="C242" s="217" t="s">
        <v>247</v>
      </c>
      <c r="D242" s="218" t="s">
        <v>376</v>
      </c>
      <c r="E242" s="219" t="s">
        <v>1070</v>
      </c>
    </row>
    <row r="243" spans="1:5" ht="12.75" customHeight="1" x14ac:dyDescent="0.2">
      <c r="A243" s="216"/>
      <c r="B243" s="216"/>
      <c r="C243" s="217" t="s">
        <v>776</v>
      </c>
      <c r="D243" s="218" t="s">
        <v>376</v>
      </c>
      <c r="E243" s="219" t="s">
        <v>109</v>
      </c>
    </row>
    <row r="244" spans="1:5" ht="12.75" customHeight="1" x14ac:dyDescent="0.2">
      <c r="A244" s="216"/>
      <c r="B244" s="216"/>
      <c r="C244" s="217" t="s">
        <v>1310</v>
      </c>
      <c r="D244" s="218" t="s">
        <v>376</v>
      </c>
      <c r="E244" s="219" t="s">
        <v>1334</v>
      </c>
    </row>
    <row r="245" spans="1:5" ht="12.75" customHeight="1" x14ac:dyDescent="0.2">
      <c r="A245" s="216"/>
      <c r="B245" s="216"/>
      <c r="C245" s="217" t="s">
        <v>337</v>
      </c>
      <c r="D245" s="218" t="s">
        <v>376</v>
      </c>
      <c r="E245" s="219" t="s">
        <v>1679</v>
      </c>
    </row>
    <row r="246" spans="1:5" ht="12.75" customHeight="1" x14ac:dyDescent="0.2">
      <c r="A246" s="216"/>
      <c r="B246" s="216"/>
      <c r="C246" s="217" t="s">
        <v>478</v>
      </c>
      <c r="D246" s="218" t="s">
        <v>376</v>
      </c>
      <c r="E246" s="219" t="s">
        <v>1007</v>
      </c>
    </row>
    <row r="247" spans="1:5" ht="12.75" customHeight="1" x14ac:dyDescent="0.2">
      <c r="A247" s="216"/>
      <c r="B247" s="216"/>
      <c r="C247" s="217" t="s">
        <v>1318</v>
      </c>
      <c r="D247" s="218" t="s">
        <v>376</v>
      </c>
      <c r="E247" s="219" t="s">
        <v>1304</v>
      </c>
    </row>
    <row r="248" spans="1:5" ht="12.75" customHeight="1" x14ac:dyDescent="0.2">
      <c r="A248" s="6"/>
      <c r="B248" s="6"/>
      <c r="C248" s="220"/>
      <c r="D248" s="221"/>
      <c r="E248" s="6"/>
    </row>
    <row r="249" spans="1:5" ht="12.75" customHeight="1" x14ac:dyDescent="0.2">
      <c r="A249" s="216" t="s">
        <v>411</v>
      </c>
      <c r="B249" s="216" t="str">
        <f>Labels!B112</f>
        <v>Operating Margin</v>
      </c>
      <c r="C249" s="217" t="s">
        <v>1029</v>
      </c>
      <c r="D249" s="218" t="s">
        <v>376</v>
      </c>
      <c r="E249" s="219" t="s">
        <v>321</v>
      </c>
    </row>
    <row r="250" spans="1:5" ht="12.75" customHeight="1" x14ac:dyDescent="0.2">
      <c r="A250" s="6"/>
      <c r="B250" s="6"/>
      <c r="C250" s="220"/>
      <c r="D250" s="221"/>
      <c r="E250" s="6"/>
    </row>
    <row r="251" spans="1:5" ht="12.75" customHeight="1" x14ac:dyDescent="0.2">
      <c r="A251" s="216" t="s">
        <v>1333</v>
      </c>
      <c r="B251" s="216" t="str">
        <f>Labels!B113</f>
        <v>Operating Margin %</v>
      </c>
      <c r="C251" s="217" t="s">
        <v>1029</v>
      </c>
      <c r="D251" s="218" t="s">
        <v>595</v>
      </c>
      <c r="E251" s="219" t="s">
        <v>1599</v>
      </c>
    </row>
    <row r="252" spans="1:5" ht="12.75" customHeight="1" x14ac:dyDescent="0.2">
      <c r="A252" s="6"/>
      <c r="B252" s="6"/>
      <c r="C252" s="220"/>
      <c r="D252" s="221"/>
      <c r="E252" s="6"/>
    </row>
    <row r="253" spans="1:5" ht="12.75" customHeight="1" x14ac:dyDescent="0.2">
      <c r="A253" s="216" t="s">
        <v>999</v>
      </c>
      <c r="B253" s="216" t="str">
        <f>Labels!B114</f>
        <v>Paid in Capital</v>
      </c>
      <c r="C253" s="217" t="s">
        <v>1029</v>
      </c>
      <c r="D253" s="218" t="s">
        <v>376</v>
      </c>
      <c r="E253" s="219" t="s">
        <v>810</v>
      </c>
    </row>
    <row r="254" spans="1:5" ht="12.75" customHeight="1" x14ac:dyDescent="0.2">
      <c r="A254" s="6"/>
      <c r="B254" s="6"/>
      <c r="C254" s="220"/>
      <c r="D254" s="221"/>
      <c r="E254" s="6"/>
    </row>
    <row r="255" spans="1:5" ht="12.75" customHeight="1" x14ac:dyDescent="0.2">
      <c r="A255" s="216" t="s">
        <v>1690</v>
      </c>
      <c r="B255" s="216" t="str">
        <f>Labels!B115</f>
        <v>Per Employee Exp/Yr</v>
      </c>
      <c r="C255" s="217" t="s">
        <v>632</v>
      </c>
      <c r="D255" s="218" t="s">
        <v>376</v>
      </c>
      <c r="E255" s="219" t="s">
        <v>1266</v>
      </c>
    </row>
    <row r="256" spans="1:5" ht="12.75" customHeight="1" x14ac:dyDescent="0.2">
      <c r="A256" s="216"/>
      <c r="B256" s="216"/>
      <c r="C256" s="217"/>
      <c r="D256" s="218" t="s">
        <v>595</v>
      </c>
      <c r="E256" s="219" t="s">
        <v>185</v>
      </c>
    </row>
    <row r="257" spans="1:5" ht="12.75" customHeight="1" x14ac:dyDescent="0.2">
      <c r="A257" s="6"/>
      <c r="B257" s="6"/>
      <c r="C257" s="220"/>
      <c r="D257" s="221"/>
      <c r="E257" s="6"/>
    </row>
    <row r="258" spans="1:5" ht="12.75" customHeight="1" x14ac:dyDescent="0.2">
      <c r="A258" s="216" t="s">
        <v>770</v>
      </c>
      <c r="B258" s="216" t="str">
        <f>Labels!B116</f>
        <v>Average Prod Price</v>
      </c>
      <c r="C258" s="217" t="s">
        <v>1352</v>
      </c>
      <c r="D258" s="218" t="s">
        <v>376</v>
      </c>
      <c r="E258" s="219" t="s">
        <v>967</v>
      </c>
    </row>
    <row r="259" spans="1:5" ht="12.75" customHeight="1" x14ac:dyDescent="0.2">
      <c r="A259" s="216"/>
      <c r="B259" s="216"/>
      <c r="C259" s="217"/>
      <c r="D259" s="218" t="s">
        <v>595</v>
      </c>
      <c r="E259" s="219" t="s">
        <v>1018</v>
      </c>
    </row>
    <row r="260" spans="1:5" ht="12.75" customHeight="1" x14ac:dyDescent="0.2">
      <c r="A260" s="6"/>
      <c r="B260" s="6"/>
      <c r="C260" s="220"/>
      <c r="D260" s="221"/>
      <c r="E260" s="6"/>
    </row>
    <row r="261" spans="1:5" ht="12.75" customHeight="1" x14ac:dyDescent="0.2">
      <c r="A261" s="216" t="s">
        <v>634</v>
      </c>
      <c r="B261" s="216" t="str">
        <f>Labels!B117</f>
        <v>Discount % - Products</v>
      </c>
      <c r="C261" s="217" t="s">
        <v>1352</v>
      </c>
      <c r="D261" s="218" t="s">
        <v>376</v>
      </c>
      <c r="E261" s="219" t="s">
        <v>1266</v>
      </c>
    </row>
    <row r="262" spans="1:5" ht="12.75" customHeight="1" x14ac:dyDescent="0.2">
      <c r="A262" s="216"/>
      <c r="B262" s="216"/>
      <c r="C262" s="217"/>
      <c r="D262" s="218" t="s">
        <v>595</v>
      </c>
      <c r="E262" s="219" t="s">
        <v>240</v>
      </c>
    </row>
    <row r="263" spans="1:5" ht="12.75" customHeight="1" x14ac:dyDescent="0.2">
      <c r="A263" s="6"/>
      <c r="B263" s="6"/>
      <c r="C263" s="220"/>
      <c r="D263" s="221"/>
      <c r="E263" s="6"/>
    </row>
    <row r="264" spans="1:5" ht="12.75" customHeight="1" x14ac:dyDescent="0.2">
      <c r="A264" s="216" t="s">
        <v>656</v>
      </c>
      <c r="B264" s="216" t="str">
        <f>Labels!B118</f>
        <v>List Price - Products</v>
      </c>
      <c r="C264" s="217" t="s">
        <v>1277</v>
      </c>
      <c r="D264" s="218" t="s">
        <v>376</v>
      </c>
      <c r="E264" s="219" t="s">
        <v>1623</v>
      </c>
    </row>
    <row r="265" spans="1:5" ht="12.75" customHeight="1" x14ac:dyDescent="0.2">
      <c r="A265" s="216"/>
      <c r="B265" s="216"/>
      <c r="C265" s="217"/>
      <c r="D265" s="218" t="s">
        <v>595</v>
      </c>
      <c r="E265" s="219" t="s">
        <v>1629</v>
      </c>
    </row>
    <row r="266" spans="1:5" ht="12.75" customHeight="1" x14ac:dyDescent="0.2">
      <c r="A266" s="6"/>
      <c r="B266" s="6"/>
      <c r="C266" s="220"/>
      <c r="D266" s="221"/>
      <c r="E266" s="6"/>
    </row>
    <row r="267" spans="1:5" ht="12.75" customHeight="1" x14ac:dyDescent="0.2">
      <c r="A267" s="216" t="s">
        <v>298</v>
      </c>
      <c r="B267" s="216" t="str">
        <f>Labels!B119</f>
        <v>Production Units</v>
      </c>
      <c r="C267" s="217" t="s">
        <v>1277</v>
      </c>
      <c r="D267" s="218" t="s">
        <v>376</v>
      </c>
      <c r="E267" s="219" t="s">
        <v>1023</v>
      </c>
    </row>
    <row r="268" spans="1:5" ht="12.75" customHeight="1" x14ac:dyDescent="0.2">
      <c r="A268" s="6"/>
      <c r="B268" s="6"/>
      <c r="C268" s="220"/>
      <c r="D268" s="221"/>
      <c r="E268" s="6"/>
    </row>
    <row r="269" spans="1:5" ht="12.75" customHeight="1" x14ac:dyDescent="0.2">
      <c r="A269" s="216" t="s">
        <v>1010</v>
      </c>
      <c r="B269" s="216" t="str">
        <f>Labels!B120</f>
        <v>Products</v>
      </c>
      <c r="C269" s="217" t="s">
        <v>1277</v>
      </c>
      <c r="D269" s="218" t="s">
        <v>376</v>
      </c>
      <c r="E269" s="219" t="s">
        <v>1773</v>
      </c>
    </row>
    <row r="270" spans="1:5" ht="12.75" customHeight="1" x14ac:dyDescent="0.2">
      <c r="A270" s="6"/>
      <c r="B270" s="6"/>
      <c r="C270" s="220"/>
      <c r="D270" s="221"/>
      <c r="E270" s="6"/>
    </row>
    <row r="271" spans="1:5" ht="12.75" customHeight="1" x14ac:dyDescent="0.2">
      <c r="A271" s="216" t="s">
        <v>1657</v>
      </c>
      <c r="B271" s="216" t="str">
        <f>Labels!B121</f>
        <v>Purchases Raw Matl</v>
      </c>
      <c r="C271" s="217" t="s">
        <v>158</v>
      </c>
      <c r="D271" s="218" t="s">
        <v>376</v>
      </c>
      <c r="E271" s="219" t="s">
        <v>1436</v>
      </c>
    </row>
    <row r="272" spans="1:5" ht="12.75" customHeight="1" x14ac:dyDescent="0.2">
      <c r="A272" s="6"/>
      <c r="B272" s="6"/>
      <c r="C272" s="220"/>
      <c r="D272" s="221"/>
      <c r="E272" s="6"/>
    </row>
    <row r="273" spans="1:5" ht="12.75" customHeight="1" x14ac:dyDescent="0.2">
      <c r="A273" s="216" t="s">
        <v>1619</v>
      </c>
      <c r="B273" s="216" t="str">
        <f>Labels!B122</f>
        <v>Purchases Raw Matl U</v>
      </c>
      <c r="C273" s="217" t="s">
        <v>158</v>
      </c>
      <c r="D273" s="218" t="s">
        <v>376</v>
      </c>
      <c r="E273" s="219" t="s">
        <v>355</v>
      </c>
    </row>
    <row r="274" spans="1:5" ht="12.75" customHeight="1" x14ac:dyDescent="0.2">
      <c r="A274" s="6"/>
      <c r="B274" s="6"/>
      <c r="C274" s="220"/>
      <c r="D274" s="221"/>
      <c r="E274" s="6"/>
    </row>
    <row r="275" spans="1:5" ht="12.75" customHeight="1" x14ac:dyDescent="0.2">
      <c r="A275" s="216" t="s">
        <v>405</v>
      </c>
      <c r="B275" s="216" t="str">
        <f>Labels!B123</f>
        <v>Purch Raw Matl Needs</v>
      </c>
      <c r="C275" s="217" t="s">
        <v>158</v>
      </c>
      <c r="D275" s="218" t="s">
        <v>376</v>
      </c>
      <c r="E275" s="219" t="s">
        <v>993</v>
      </c>
    </row>
    <row r="276" spans="1:5" ht="12.75" customHeight="1" x14ac:dyDescent="0.2">
      <c r="A276" s="6"/>
      <c r="B276" s="6"/>
      <c r="C276" s="220"/>
      <c r="D276" s="221"/>
      <c r="E276" s="6"/>
    </row>
    <row r="277" spans="1:5" ht="12.75" customHeight="1" x14ac:dyDescent="0.2">
      <c r="A277" s="216" t="s">
        <v>687</v>
      </c>
      <c r="B277" s="216" t="str">
        <f>Labels!B124</f>
        <v>Purchases</v>
      </c>
      <c r="C277" s="217" t="s">
        <v>1791</v>
      </c>
      <c r="D277" s="218" t="s">
        <v>376</v>
      </c>
      <c r="E277" s="219" t="s">
        <v>987</v>
      </c>
    </row>
    <row r="278" spans="1:5" ht="12.75" customHeight="1" x14ac:dyDescent="0.2">
      <c r="A278" s="216"/>
      <c r="B278" s="216"/>
      <c r="C278" s="217" t="s">
        <v>645</v>
      </c>
      <c r="D278" s="218" t="s">
        <v>376</v>
      </c>
      <c r="E278" s="219" t="s">
        <v>906</v>
      </c>
    </row>
    <row r="279" spans="1:5" ht="12.75" customHeight="1" x14ac:dyDescent="0.2">
      <c r="A279" s="216"/>
      <c r="B279" s="216"/>
      <c r="C279" s="217" t="s">
        <v>2</v>
      </c>
      <c r="D279" s="218" t="s">
        <v>376</v>
      </c>
      <c r="E279" s="219" t="s">
        <v>569</v>
      </c>
    </row>
    <row r="280" spans="1:5" ht="12.75" customHeight="1" x14ac:dyDescent="0.2">
      <c r="A280" s="6"/>
      <c r="B280" s="6"/>
      <c r="C280" s="220"/>
      <c r="D280" s="221"/>
      <c r="E280" s="6"/>
    </row>
    <row r="281" spans="1:5" ht="12.75" customHeight="1" x14ac:dyDescent="0.2">
      <c r="A281" s="216" t="s">
        <v>803</v>
      </c>
      <c r="B281" s="216" t="str">
        <f>Labels!B125</f>
        <v>Quick Ratio</v>
      </c>
      <c r="C281" s="217" t="s">
        <v>1029</v>
      </c>
      <c r="D281" s="218" t="s">
        <v>595</v>
      </c>
      <c r="E281" s="219" t="s">
        <v>708</v>
      </c>
    </row>
    <row r="282" spans="1:5" ht="12.75" customHeight="1" x14ac:dyDescent="0.2">
      <c r="A282" s="6"/>
      <c r="B282" s="6"/>
      <c r="C282" s="220"/>
      <c r="D282" s="221"/>
      <c r="E282" s="6"/>
    </row>
    <row r="283" spans="1:5" ht="12.75" customHeight="1" x14ac:dyDescent="0.2">
      <c r="A283" s="216" t="s">
        <v>242</v>
      </c>
      <c r="B283" s="216" t="str">
        <f>Labels!B126</f>
        <v>Retained Earnings</v>
      </c>
      <c r="C283" s="217" t="s">
        <v>1029</v>
      </c>
      <c r="D283" s="218" t="s">
        <v>376</v>
      </c>
      <c r="E283" s="219" t="s">
        <v>834</v>
      </c>
    </row>
    <row r="284" spans="1:5" ht="12.75" customHeight="1" x14ac:dyDescent="0.2">
      <c r="A284" s="6"/>
      <c r="B284" s="6"/>
      <c r="C284" s="220"/>
      <c r="D284" s="221"/>
      <c r="E284" s="6"/>
    </row>
    <row r="285" spans="1:5" ht="12.75" customHeight="1" x14ac:dyDescent="0.2">
      <c r="A285" s="216" t="s">
        <v>666</v>
      </c>
      <c r="B285" s="216" t="str">
        <f>Labels!B127</f>
        <v>Return on Assets</v>
      </c>
      <c r="C285" s="217" t="s">
        <v>1029</v>
      </c>
      <c r="D285" s="218" t="s">
        <v>376</v>
      </c>
      <c r="E285" s="219" t="s">
        <v>1633</v>
      </c>
    </row>
    <row r="286" spans="1:5" ht="12.75" customHeight="1" x14ac:dyDescent="0.2">
      <c r="A286" s="6"/>
      <c r="B286" s="6"/>
      <c r="C286" s="220"/>
      <c r="D286" s="221"/>
      <c r="E286" s="6"/>
    </row>
    <row r="287" spans="1:5" ht="12.75" customHeight="1" x14ac:dyDescent="0.2">
      <c r="A287" s="216" t="s">
        <v>1155</v>
      </c>
      <c r="B287" s="216" t="str">
        <f>Labels!B128</f>
        <v>Return on Equity</v>
      </c>
      <c r="C287" s="217" t="s">
        <v>1029</v>
      </c>
      <c r="D287" s="218" t="s">
        <v>376</v>
      </c>
      <c r="E287" s="219" t="s">
        <v>1806</v>
      </c>
    </row>
    <row r="288" spans="1:5" ht="12.75" customHeight="1" x14ac:dyDescent="0.2">
      <c r="A288" s="6"/>
      <c r="B288" s="6"/>
      <c r="C288" s="220"/>
      <c r="D288" s="221"/>
      <c r="E288" s="6"/>
    </row>
    <row r="289" spans="1:5" ht="12.75" customHeight="1" x14ac:dyDescent="0.2">
      <c r="A289" s="216" t="s">
        <v>1725</v>
      </c>
      <c r="B289" s="216" t="str">
        <f>Labels!B129</f>
        <v>Return on Sales %</v>
      </c>
      <c r="C289" s="217" t="s">
        <v>1029</v>
      </c>
      <c r="D289" s="218" t="s">
        <v>595</v>
      </c>
      <c r="E289" s="219" t="s">
        <v>1030</v>
      </c>
    </row>
    <row r="290" spans="1:5" ht="12.75" customHeight="1" x14ac:dyDescent="0.2">
      <c r="A290" s="6"/>
      <c r="B290" s="6"/>
      <c r="C290" s="220"/>
      <c r="D290" s="221"/>
      <c r="E290" s="6"/>
    </row>
    <row r="291" spans="1:5" ht="12.75" customHeight="1" x14ac:dyDescent="0.2">
      <c r="A291" s="216" t="s">
        <v>1689</v>
      </c>
      <c r="B291" s="216" t="str">
        <f>Labels!B130</f>
        <v>Revenue at List Price - Products</v>
      </c>
      <c r="C291" s="217" t="s">
        <v>1352</v>
      </c>
      <c r="D291" s="218" t="s">
        <v>376</v>
      </c>
      <c r="E291" s="219" t="s">
        <v>419</v>
      </c>
    </row>
    <row r="292" spans="1:5" ht="12.75" customHeight="1" x14ac:dyDescent="0.2">
      <c r="A292" s="6"/>
      <c r="B292" s="6"/>
      <c r="C292" s="220"/>
      <c r="D292" s="221"/>
      <c r="E292" s="6"/>
    </row>
    <row r="293" spans="1:5" ht="12.75" customHeight="1" x14ac:dyDescent="0.2">
      <c r="A293" s="216" t="s">
        <v>452</v>
      </c>
      <c r="B293" s="216" t="str">
        <f>Labels!B131</f>
        <v>Revenue</v>
      </c>
      <c r="C293" s="217" t="s">
        <v>253</v>
      </c>
      <c r="D293" s="218" t="s">
        <v>376</v>
      </c>
      <c r="E293" s="219" t="s">
        <v>501</v>
      </c>
    </row>
    <row r="294" spans="1:5" ht="12.75" customHeight="1" x14ac:dyDescent="0.2">
      <c r="A294" s="6"/>
      <c r="B294" s="6"/>
      <c r="C294" s="220"/>
      <c r="D294" s="221"/>
      <c r="E294" s="6"/>
    </row>
    <row r="295" spans="1:5" ht="12.75" customHeight="1" x14ac:dyDescent="0.2">
      <c r="A295" s="216" t="s">
        <v>1482</v>
      </c>
      <c r="B295" s="216" t="str">
        <f>Labels!B132</f>
        <v>Revenue CAGR (ex Yr1)</v>
      </c>
      <c r="C295" s="217" t="s">
        <v>253</v>
      </c>
      <c r="D295" s="218" t="s">
        <v>595</v>
      </c>
      <c r="E295" s="219" t="s">
        <v>1736</v>
      </c>
    </row>
    <row r="296" spans="1:5" ht="12.75" customHeight="1" x14ac:dyDescent="0.2">
      <c r="A296" s="6"/>
      <c r="B296" s="6"/>
      <c r="C296" s="220"/>
      <c r="D296" s="221"/>
      <c r="E296" s="6"/>
    </row>
    <row r="297" spans="1:5" ht="12.75" customHeight="1" x14ac:dyDescent="0.2">
      <c r="A297" s="216" t="s">
        <v>672</v>
      </c>
      <c r="B297" s="216" t="str">
        <f>Labels!B133</f>
        <v>Revenue Growth</v>
      </c>
      <c r="C297" s="217" t="s">
        <v>253</v>
      </c>
      <c r="D297" s="218" t="s">
        <v>595</v>
      </c>
      <c r="E297" s="219" t="s">
        <v>564</v>
      </c>
    </row>
    <row r="298" spans="1:5" ht="12.75" customHeight="1" x14ac:dyDescent="0.2">
      <c r="A298" s="6"/>
      <c r="B298" s="6"/>
      <c r="C298" s="220"/>
      <c r="D298" s="221"/>
      <c r="E298" s="6"/>
    </row>
    <row r="299" spans="1:5" ht="12.75" customHeight="1" x14ac:dyDescent="0.2">
      <c r="A299" s="216" t="s">
        <v>384</v>
      </c>
      <c r="B299" s="216" t="str">
        <f>Labels!B134</f>
        <v>Revenue Growth</v>
      </c>
      <c r="C299" s="217" t="s">
        <v>253</v>
      </c>
      <c r="D299" s="218" t="s">
        <v>595</v>
      </c>
      <c r="E299" s="219" t="s">
        <v>800</v>
      </c>
    </row>
    <row r="300" spans="1:5" ht="12.75" customHeight="1" x14ac:dyDescent="0.2">
      <c r="A300" s="6"/>
      <c r="B300" s="6"/>
      <c r="C300" s="220"/>
      <c r="D300" s="221"/>
      <c r="E300" s="6"/>
    </row>
    <row r="301" spans="1:5" ht="12.75" customHeight="1" x14ac:dyDescent="0.2">
      <c r="A301" s="216" t="s">
        <v>604</v>
      </c>
      <c r="B301" s="216" t="str">
        <f>Labels!B135</f>
        <v>Revenue (non-deferred)</v>
      </c>
      <c r="C301" s="217" t="s">
        <v>253</v>
      </c>
      <c r="D301" s="218" t="s">
        <v>376</v>
      </c>
      <c r="E301" s="219" t="s">
        <v>501</v>
      </c>
    </row>
    <row r="302" spans="1:5" ht="12.75" customHeight="1" x14ac:dyDescent="0.2">
      <c r="A302" s="6"/>
      <c r="B302" s="6"/>
      <c r="C302" s="220"/>
      <c r="D302" s="221"/>
      <c r="E302" s="6"/>
    </row>
    <row r="303" spans="1:5" ht="12.75" customHeight="1" x14ac:dyDescent="0.2">
      <c r="A303" s="216" t="s">
        <v>1608</v>
      </c>
      <c r="B303" s="216" t="str">
        <f>Labels!B136</f>
        <v>Revenue / Employee</v>
      </c>
      <c r="C303" s="217" t="s">
        <v>1252</v>
      </c>
      <c r="D303" s="218" t="s">
        <v>595</v>
      </c>
      <c r="E303" s="219" t="s">
        <v>318</v>
      </c>
    </row>
    <row r="304" spans="1:5" ht="12.75" customHeight="1" x14ac:dyDescent="0.2">
      <c r="A304" s="6"/>
      <c r="B304" s="6"/>
      <c r="C304" s="220"/>
      <c r="D304" s="221"/>
      <c r="E304" s="6"/>
    </row>
    <row r="305" spans="1:5" ht="12.75" customHeight="1" x14ac:dyDescent="0.2">
      <c r="A305" s="216" t="s">
        <v>883</v>
      </c>
      <c r="B305" s="216" t="str">
        <f>Labels!B137</f>
        <v>Revenue - Products</v>
      </c>
      <c r="C305" s="217" t="s">
        <v>1352</v>
      </c>
      <c r="D305" s="218" t="s">
        <v>376</v>
      </c>
      <c r="E305" s="219" t="s">
        <v>596</v>
      </c>
    </row>
    <row r="306" spans="1:5" ht="12.75" customHeight="1" x14ac:dyDescent="0.2">
      <c r="A306" s="6"/>
      <c r="B306" s="6"/>
      <c r="C306" s="220"/>
      <c r="D306" s="221"/>
      <c r="E306" s="6"/>
    </row>
    <row r="307" spans="1:5" ht="12.75" customHeight="1" x14ac:dyDescent="0.2">
      <c r="A307" s="216" t="s">
        <v>742</v>
      </c>
      <c r="B307" s="216" t="str">
        <f>Labels!B138</f>
        <v>Revenue Growth - Products</v>
      </c>
      <c r="C307" s="217" t="s">
        <v>1352</v>
      </c>
      <c r="D307" s="218" t="s">
        <v>595</v>
      </c>
      <c r="E307" s="219" t="s">
        <v>505</v>
      </c>
    </row>
    <row r="308" spans="1:5" ht="12.75" customHeight="1" x14ac:dyDescent="0.2">
      <c r="A308" s="6"/>
      <c r="B308" s="6"/>
      <c r="C308" s="220"/>
      <c r="D308" s="221"/>
      <c r="E308" s="6"/>
    </row>
    <row r="309" spans="1:5" ht="12.75" customHeight="1" x14ac:dyDescent="0.2">
      <c r="A309" s="216" t="s">
        <v>1825</v>
      </c>
      <c r="B309" s="216" t="str">
        <f>Labels!B139</f>
        <v>Revenue Growth - Products</v>
      </c>
      <c r="C309" s="217" t="s">
        <v>1352</v>
      </c>
      <c r="D309" s="218" t="s">
        <v>595</v>
      </c>
      <c r="E309" s="219" t="s">
        <v>1399</v>
      </c>
    </row>
    <row r="310" spans="1:5" ht="12.75" customHeight="1" x14ac:dyDescent="0.2">
      <c r="A310" s="6"/>
      <c r="B310" s="6"/>
      <c r="C310" s="220"/>
      <c r="D310" s="221"/>
      <c r="E310" s="6"/>
    </row>
    <row r="311" spans="1:5" ht="12.75" customHeight="1" x14ac:dyDescent="0.2">
      <c r="A311" s="216" t="s">
        <v>1483</v>
      </c>
      <c r="B311" s="216" t="str">
        <f>Labels!B140</f>
        <v>Sales Commis Rate</v>
      </c>
      <c r="C311" s="217" t="s">
        <v>1029</v>
      </c>
      <c r="D311" s="218" t="s">
        <v>376</v>
      </c>
      <c r="E311" s="219" t="s">
        <v>1266</v>
      </c>
    </row>
    <row r="312" spans="1:5" ht="12.75" customHeight="1" x14ac:dyDescent="0.2">
      <c r="A312" s="6"/>
      <c r="B312" s="6"/>
      <c r="C312" s="220"/>
      <c r="D312" s="221"/>
      <c r="E312" s="6"/>
    </row>
    <row r="313" spans="1:5" ht="12.75" customHeight="1" x14ac:dyDescent="0.2">
      <c r="A313" s="216" t="s">
        <v>1061</v>
      </c>
      <c r="B313" s="216" t="str">
        <f>Labels!B141</f>
        <v>Commis Rev Share</v>
      </c>
      <c r="C313" s="217" t="s">
        <v>1029</v>
      </c>
      <c r="D313" s="218" t="s">
        <v>376</v>
      </c>
      <c r="E313" s="219" t="s">
        <v>1267</v>
      </c>
    </row>
    <row r="314" spans="1:5" ht="12.75" customHeight="1" x14ac:dyDescent="0.2">
      <c r="A314" s="6"/>
      <c r="B314" s="6"/>
      <c r="C314" s="220"/>
      <c r="D314" s="221"/>
      <c r="E314" s="6"/>
    </row>
    <row r="315" spans="1:5" ht="12.75" customHeight="1" x14ac:dyDescent="0.2">
      <c r="A315" s="216" t="s">
        <v>1441</v>
      </c>
      <c r="B315" s="216" t="str">
        <f>Labels!B142</f>
        <v>Sales Commission</v>
      </c>
      <c r="C315" s="217" t="s">
        <v>1029</v>
      </c>
      <c r="D315" s="218" t="s">
        <v>376</v>
      </c>
      <c r="E315" s="219" t="s">
        <v>1509</v>
      </c>
    </row>
    <row r="316" spans="1:5" ht="12.75" customHeight="1" x14ac:dyDescent="0.2">
      <c r="A316" s="6"/>
      <c r="B316" s="6"/>
      <c r="C316" s="220"/>
      <c r="D316" s="221"/>
      <c r="E316" s="6"/>
    </row>
    <row r="317" spans="1:5" ht="12.75" customHeight="1" x14ac:dyDescent="0.2">
      <c r="A317" s="216" t="s">
        <v>1556</v>
      </c>
      <c r="B317" s="216" t="str">
        <f>Labels!B143</f>
        <v>Sales Unit Gr/Yr, Prods</v>
      </c>
      <c r="C317" s="217" t="s">
        <v>1352</v>
      </c>
      <c r="D317" s="218" t="s">
        <v>376</v>
      </c>
      <c r="E317" s="219" t="s">
        <v>1554</v>
      </c>
    </row>
    <row r="318" spans="1:5" ht="12.75" customHeight="1" x14ac:dyDescent="0.2">
      <c r="A318" s="6"/>
      <c r="B318" s="6"/>
      <c r="C318" s="220"/>
      <c r="D318" s="221"/>
      <c r="E318" s="6"/>
    </row>
    <row r="319" spans="1:5" ht="12.75" customHeight="1" x14ac:dyDescent="0.2">
      <c r="A319" s="216" t="s">
        <v>27</v>
      </c>
      <c r="B319" s="216" t="str">
        <f>Labels!B144</f>
        <v xml:space="preserve">Sales Unit Growth - Product </v>
      </c>
      <c r="C319" s="217" t="s">
        <v>1352</v>
      </c>
      <c r="D319" s="218" t="s">
        <v>595</v>
      </c>
      <c r="E319" s="219" t="s">
        <v>1745</v>
      </c>
    </row>
    <row r="320" spans="1:5" ht="12.75" customHeight="1" x14ac:dyDescent="0.2">
      <c r="A320" s="6"/>
      <c r="B320" s="6"/>
      <c r="C320" s="220"/>
      <c r="D320" s="221"/>
      <c r="E320" s="6"/>
    </row>
    <row r="321" spans="1:5" ht="12.75" customHeight="1" x14ac:dyDescent="0.2">
      <c r="A321" s="216" t="s">
        <v>1344</v>
      </c>
      <c r="B321" s="216" t="str">
        <f>Labels!B145</f>
        <v xml:space="preserve">Sales Unit Growth - Product </v>
      </c>
      <c r="C321" s="217" t="s">
        <v>1352</v>
      </c>
      <c r="D321" s="218" t="s">
        <v>595</v>
      </c>
      <c r="E321" s="219" t="s">
        <v>192</v>
      </c>
    </row>
    <row r="322" spans="1:5" ht="12.75" customHeight="1" x14ac:dyDescent="0.2">
      <c r="A322" s="6"/>
      <c r="B322" s="6"/>
      <c r="C322" s="220"/>
      <c r="D322" s="221"/>
      <c r="E322" s="6"/>
    </row>
    <row r="323" spans="1:5" ht="12.75" customHeight="1" x14ac:dyDescent="0.2">
      <c r="A323" s="216" t="s">
        <v>703</v>
      </c>
      <c r="B323" s="216" t="str">
        <f>Labels!B146</f>
        <v>Product Sales Unit Growth</v>
      </c>
      <c r="C323" s="217" t="s">
        <v>1352</v>
      </c>
      <c r="D323" s="218" t="s">
        <v>376</v>
      </c>
      <c r="E323" s="219" t="s">
        <v>316</v>
      </c>
    </row>
    <row r="324" spans="1:5" ht="12.75" customHeight="1" x14ac:dyDescent="0.2">
      <c r="A324" s="6"/>
      <c r="B324" s="6"/>
      <c r="C324" s="220"/>
      <c r="D324" s="221"/>
      <c r="E324" s="6"/>
    </row>
    <row r="325" spans="1:5" ht="12.75" customHeight="1" x14ac:dyDescent="0.2">
      <c r="A325" s="216" t="s">
        <v>1077</v>
      </c>
      <c r="B325" s="216" t="str">
        <f>Labels!B147</f>
        <v>Sales Units - Products</v>
      </c>
      <c r="C325" s="217" t="s">
        <v>1352</v>
      </c>
      <c r="D325" s="218" t="s">
        <v>376</v>
      </c>
      <c r="E325" s="219" t="s">
        <v>1785</v>
      </c>
    </row>
    <row r="326" spans="1:5" ht="12.75" customHeight="1" x14ac:dyDescent="0.2">
      <c r="A326" s="6"/>
      <c r="B326" s="6"/>
      <c r="C326" s="220"/>
      <c r="D326" s="221"/>
      <c r="E326" s="6"/>
    </row>
    <row r="327" spans="1:5" ht="12.75" customHeight="1" x14ac:dyDescent="0.2">
      <c r="A327" s="216" t="s">
        <v>431</v>
      </c>
      <c r="B327" s="216" t="str">
        <f>Labels!B148</f>
        <v>Sales Units, Products</v>
      </c>
      <c r="C327" s="217" t="s">
        <v>1352</v>
      </c>
      <c r="D327" s="218" t="s">
        <v>376</v>
      </c>
      <c r="E327" s="219" t="s">
        <v>233</v>
      </c>
    </row>
    <row r="328" spans="1:5" ht="12.75" customHeight="1" x14ac:dyDescent="0.2">
      <c r="A328" s="6"/>
      <c r="B328" s="6"/>
      <c r="C328" s="220"/>
      <c r="D328" s="221"/>
      <c r="E328" s="6"/>
    </row>
    <row r="329" spans="1:5" ht="12.75" customHeight="1" x14ac:dyDescent="0.2">
      <c r="A329" s="216" t="s">
        <v>1701</v>
      </c>
      <c r="B329" s="216" t="str">
        <f>Labels!B149</f>
        <v>Round Sales Units?</v>
      </c>
      <c r="C329" s="217" t="s">
        <v>1029</v>
      </c>
      <c r="D329" s="218" t="s">
        <v>376</v>
      </c>
      <c r="E329" s="219" t="s">
        <v>455</v>
      </c>
    </row>
    <row r="330" spans="1:5" ht="12.75" customHeight="1" x14ac:dyDescent="0.2">
      <c r="A330" s="6"/>
      <c r="B330" s="6"/>
      <c r="C330" s="220"/>
      <c r="D330" s="221"/>
      <c r="E330" s="6"/>
    </row>
    <row r="331" spans="1:5" ht="12.75" customHeight="1" x14ac:dyDescent="0.2">
      <c r="A331" s="216" t="s">
        <v>1420</v>
      </c>
      <c r="B331" s="216" t="str">
        <f>Labels!B150</f>
        <v>Selling Exp Ratio</v>
      </c>
      <c r="C331" s="217" t="s">
        <v>1029</v>
      </c>
      <c r="D331" s="218" t="s">
        <v>376</v>
      </c>
      <c r="E331" s="219" t="s">
        <v>518</v>
      </c>
    </row>
    <row r="332" spans="1:5" ht="12.75" customHeight="1" x14ac:dyDescent="0.2">
      <c r="A332" s="6"/>
      <c r="B332" s="6"/>
      <c r="C332" s="220"/>
      <c r="D332" s="221"/>
      <c r="E332" s="6"/>
    </row>
    <row r="333" spans="1:5" ht="12.75" customHeight="1" x14ac:dyDescent="0.2">
      <c r="A333" s="216" t="s">
        <v>1681</v>
      </c>
      <c r="B333" s="216" t="str">
        <f>Labels!B151</f>
        <v>Short Term Debt</v>
      </c>
      <c r="C333" s="217" t="s">
        <v>1029</v>
      </c>
      <c r="D333" s="218" t="s">
        <v>376</v>
      </c>
      <c r="E333" s="219" t="s">
        <v>1348</v>
      </c>
    </row>
    <row r="334" spans="1:5" ht="12.75" customHeight="1" x14ac:dyDescent="0.2">
      <c r="A334" s="6"/>
      <c r="B334" s="6"/>
      <c r="C334" s="220"/>
      <c r="D334" s="221"/>
      <c r="E334" s="6"/>
    </row>
    <row r="335" spans="1:5" ht="12.75" customHeight="1" x14ac:dyDescent="0.2">
      <c r="A335" s="216" t="s">
        <v>424</v>
      </c>
      <c r="B335" s="216" t="str">
        <f>Labels!B152</f>
        <v>Depreciation</v>
      </c>
      <c r="C335" s="217" t="s">
        <v>351</v>
      </c>
      <c r="D335" s="218" t="s">
        <v>376</v>
      </c>
      <c r="E335" s="219" t="s">
        <v>1297</v>
      </c>
    </row>
    <row r="336" spans="1:5" ht="12.75" customHeight="1" x14ac:dyDescent="0.2">
      <c r="A336" s="6"/>
      <c r="B336" s="6"/>
      <c r="C336" s="220"/>
      <c r="D336" s="221"/>
      <c r="E336" s="6"/>
    </row>
    <row r="337" spans="1:5" ht="12.75" customHeight="1" x14ac:dyDescent="0.2">
      <c r="A337" s="216" t="s">
        <v>1242</v>
      </c>
      <c r="B337" s="216" t="str">
        <f>Labels!B153</f>
        <v>Depr Method</v>
      </c>
      <c r="C337" s="217"/>
      <c r="D337" s="218"/>
      <c r="E337" s="219"/>
    </row>
    <row r="338" spans="1:5" ht="12.75" customHeight="1" x14ac:dyDescent="0.2">
      <c r="A338" s="6"/>
      <c r="B338" s="6"/>
      <c r="C338" s="220"/>
      <c r="D338" s="221"/>
      <c r="E338" s="6"/>
    </row>
    <row r="339" spans="1:5" ht="12.75" customHeight="1" x14ac:dyDescent="0.2">
      <c r="A339" s="216" t="s">
        <v>8</v>
      </c>
      <c r="B339" s="216" t="str">
        <f>Labels!B154</f>
        <v>Deprec Period</v>
      </c>
      <c r="C339" s="217" t="s">
        <v>351</v>
      </c>
      <c r="D339" s="218" t="s">
        <v>376</v>
      </c>
      <c r="E339" s="219" t="s">
        <v>1162</v>
      </c>
    </row>
    <row r="340" spans="1:5" ht="12.75" customHeight="1" x14ac:dyDescent="0.2">
      <c r="A340" s="6"/>
      <c r="B340" s="6"/>
      <c r="C340" s="220"/>
      <c r="D340" s="221"/>
      <c r="E340" s="6"/>
    </row>
    <row r="341" spans="1:5" ht="12.75" customHeight="1" x14ac:dyDescent="0.2">
      <c r="A341" s="216" t="s">
        <v>1216</v>
      </c>
      <c r="B341" s="216" t="str">
        <f>Labels!B155</f>
        <v>Initial Value</v>
      </c>
      <c r="C341" s="217"/>
      <c r="D341" s="218"/>
      <c r="E341" s="219"/>
    </row>
    <row r="342" spans="1:5" ht="12.75" customHeight="1" x14ac:dyDescent="0.2">
      <c r="A342" s="6"/>
      <c r="B342" s="6"/>
      <c r="C342" s="220"/>
      <c r="D342" s="221"/>
      <c r="E342" s="6"/>
    </row>
    <row r="343" spans="1:5" ht="12.75" customHeight="1" x14ac:dyDescent="0.2">
      <c r="A343" s="216" t="s">
        <v>469</v>
      </c>
      <c r="B343" s="216" t="str">
        <f>Labels!B156</f>
        <v>Deprec Life (periods)</v>
      </c>
      <c r="C343" s="217" t="s">
        <v>351</v>
      </c>
      <c r="D343" s="218" t="s">
        <v>376</v>
      </c>
      <c r="E343" s="219" t="s">
        <v>1479</v>
      </c>
    </row>
    <row r="344" spans="1:5" ht="12.75" customHeight="1" x14ac:dyDescent="0.2">
      <c r="A344" s="6"/>
      <c r="B344" s="6"/>
      <c r="C344" s="220"/>
      <c r="D344" s="221"/>
      <c r="E344" s="6"/>
    </row>
    <row r="345" spans="1:5" ht="12.75" customHeight="1" x14ac:dyDescent="0.2">
      <c r="A345" s="216" t="s">
        <v>1455</v>
      </c>
      <c r="B345" s="216" t="str">
        <f>Labels!B157</f>
        <v>Depr Life (Yr)</v>
      </c>
      <c r="C345" s="217"/>
      <c r="D345" s="218"/>
      <c r="E345" s="219"/>
    </row>
    <row r="346" spans="1:5" ht="12.75" customHeight="1" x14ac:dyDescent="0.2">
      <c r="A346" s="6"/>
      <c r="B346" s="6"/>
      <c r="C346" s="220"/>
      <c r="D346" s="221"/>
      <c r="E346" s="6"/>
    </row>
    <row r="347" spans="1:5" ht="12.75" customHeight="1" x14ac:dyDescent="0.2">
      <c r="A347" s="216" t="s">
        <v>219</v>
      </c>
      <c r="B347" s="216" t="str">
        <f>Labels!B158</f>
        <v>Physical Life (period)</v>
      </c>
      <c r="C347" s="217" t="s">
        <v>351</v>
      </c>
      <c r="D347" s="218" t="s">
        <v>376</v>
      </c>
      <c r="E347" s="219" t="s">
        <v>1241</v>
      </c>
    </row>
    <row r="348" spans="1:5" ht="12.75" customHeight="1" x14ac:dyDescent="0.2">
      <c r="A348" s="6"/>
      <c r="B348" s="6"/>
      <c r="C348" s="220"/>
      <c r="D348" s="221"/>
      <c r="E348" s="6"/>
    </row>
    <row r="349" spans="1:5" ht="12.75" customHeight="1" x14ac:dyDescent="0.2">
      <c r="A349" s="216" t="s">
        <v>561</v>
      </c>
      <c r="B349" s="216" t="str">
        <f>Labels!B159</f>
        <v>Physical Life (Yr)</v>
      </c>
      <c r="C349" s="217" t="s">
        <v>351</v>
      </c>
      <c r="D349" s="218" t="s">
        <v>376</v>
      </c>
      <c r="E349" s="219" t="s">
        <v>1455</v>
      </c>
    </row>
    <row r="350" spans="1:5" ht="12.75" customHeight="1" x14ac:dyDescent="0.2">
      <c r="A350" s="6"/>
      <c r="B350" s="6"/>
      <c r="C350" s="220"/>
      <c r="D350" s="221"/>
      <c r="E350" s="6"/>
    </row>
    <row r="351" spans="1:5" ht="12.75" customHeight="1" x14ac:dyDescent="0.2">
      <c r="A351" s="216" t="s">
        <v>929</v>
      </c>
      <c r="B351" s="216" t="str">
        <f>Labels!B160</f>
        <v>Asset Name</v>
      </c>
      <c r="C351" s="217"/>
      <c r="D351" s="218"/>
      <c r="E351" s="219"/>
    </row>
    <row r="352" spans="1:5" ht="12.75" customHeight="1" x14ac:dyDescent="0.2">
      <c r="A352" s="6"/>
      <c r="B352" s="6"/>
      <c r="C352" s="220"/>
      <c r="D352" s="221"/>
      <c r="E352" s="6"/>
    </row>
    <row r="353" spans="1:5" ht="12.75" customHeight="1" x14ac:dyDescent="0.2">
      <c r="A353" s="216" t="s">
        <v>1211</v>
      </c>
      <c r="B353" s="216" t="str">
        <f>Labels!B161</f>
        <v>Tagged Asset Purch</v>
      </c>
      <c r="C353" s="217" t="s">
        <v>351</v>
      </c>
      <c r="D353" s="218" t="s">
        <v>376</v>
      </c>
      <c r="E353" s="219" t="s">
        <v>101</v>
      </c>
    </row>
    <row r="354" spans="1:5" ht="12.75" customHeight="1" x14ac:dyDescent="0.2">
      <c r="A354" s="6"/>
      <c r="B354" s="6"/>
      <c r="C354" s="220"/>
      <c r="D354" s="221"/>
      <c r="E354" s="6"/>
    </row>
    <row r="355" spans="1:5" ht="12.75" customHeight="1" x14ac:dyDescent="0.2">
      <c r="A355" s="216" t="s">
        <v>313</v>
      </c>
      <c r="B355" s="216" t="str">
        <f>Labels!B162</f>
        <v>Purch Date</v>
      </c>
      <c r="C355" s="217" t="s">
        <v>351</v>
      </c>
      <c r="D355" s="218" t="s">
        <v>376</v>
      </c>
      <c r="E355" s="219" t="s">
        <v>1498</v>
      </c>
    </row>
    <row r="356" spans="1:5" ht="12.75" customHeight="1" x14ac:dyDescent="0.2">
      <c r="A356" s="6"/>
      <c r="B356" s="6"/>
      <c r="C356" s="220"/>
      <c r="D356" s="221"/>
      <c r="E356" s="6"/>
    </row>
    <row r="357" spans="1:5" ht="12.75" customHeight="1" x14ac:dyDescent="0.2">
      <c r="A357" s="216" t="s">
        <v>786</v>
      </c>
      <c r="B357" s="216" t="str">
        <f>Labels!B163</f>
        <v>Asset Salvage CF</v>
      </c>
      <c r="C357" s="217" t="s">
        <v>351</v>
      </c>
      <c r="D357" s="218" t="s">
        <v>376</v>
      </c>
      <c r="E357" s="219" t="s">
        <v>948</v>
      </c>
    </row>
    <row r="358" spans="1:5" ht="12.75" customHeight="1" x14ac:dyDescent="0.2">
      <c r="A358" s="6"/>
      <c r="B358" s="6"/>
      <c r="C358" s="220"/>
      <c r="D358" s="221"/>
      <c r="E358" s="6"/>
    </row>
    <row r="359" spans="1:5" ht="12.75" customHeight="1" x14ac:dyDescent="0.2">
      <c r="A359" s="216" t="s">
        <v>1671</v>
      </c>
      <c r="B359" s="216" t="str">
        <f>Labels!B164</f>
        <v>Salvage Value</v>
      </c>
      <c r="C359" s="217"/>
      <c r="D359" s="218"/>
      <c r="E359" s="219"/>
    </row>
    <row r="360" spans="1:5" ht="12.75" customHeight="1" x14ac:dyDescent="0.2">
      <c r="A360" s="6"/>
      <c r="B360" s="6"/>
      <c r="C360" s="220"/>
      <c r="D360" s="221"/>
      <c r="E360" s="6"/>
    </row>
    <row r="361" spans="1:5" ht="12.75" customHeight="1" x14ac:dyDescent="0.2">
      <c r="A361" s="216" t="s">
        <v>660</v>
      </c>
      <c r="B361" s="216" t="str">
        <f>Labels!B165</f>
        <v>Tagged Assets</v>
      </c>
      <c r="C361" s="217" t="s">
        <v>351</v>
      </c>
      <c r="D361" s="218" t="s">
        <v>376</v>
      </c>
      <c r="E361" s="219" t="s">
        <v>937</v>
      </c>
    </row>
    <row r="362" spans="1:5" ht="12.75" customHeight="1" x14ac:dyDescent="0.2">
      <c r="A362" s="6"/>
      <c r="B362" s="6"/>
      <c r="C362" s="220"/>
      <c r="D362" s="221"/>
      <c r="E362" s="6"/>
    </row>
    <row r="363" spans="1:5" ht="12.75" customHeight="1" x14ac:dyDescent="0.2">
      <c r="A363" s="216" t="s">
        <v>278</v>
      </c>
      <c r="B363" s="216" t="str">
        <f>Labels!B166</f>
        <v>Taxable Income</v>
      </c>
      <c r="C363" s="217" t="s">
        <v>1029</v>
      </c>
      <c r="D363" s="218" t="s">
        <v>376</v>
      </c>
      <c r="E363" s="219" t="s">
        <v>184</v>
      </c>
    </row>
    <row r="364" spans="1:5" ht="12.75" customHeight="1" x14ac:dyDescent="0.2">
      <c r="A364" s="6"/>
      <c r="B364" s="6"/>
      <c r="C364" s="220"/>
      <c r="D364" s="221"/>
      <c r="E364" s="6"/>
    </row>
    <row r="365" spans="1:5" ht="12.75" customHeight="1" x14ac:dyDescent="0.2">
      <c r="A365" s="216" t="s">
        <v>1062</v>
      </c>
      <c r="B365" s="216" t="str">
        <f>Labels!B167</f>
        <v>Time</v>
      </c>
      <c r="C365" s="217" t="s">
        <v>1029</v>
      </c>
      <c r="D365" s="218" t="s">
        <v>376</v>
      </c>
      <c r="E365" s="219" t="s">
        <v>602</v>
      </c>
    </row>
    <row r="366" spans="1:5" ht="12.75" customHeight="1" x14ac:dyDescent="0.2">
      <c r="A366" s="6"/>
      <c r="B366" s="6"/>
      <c r="C366" s="220"/>
      <c r="D366" s="221"/>
      <c r="E366" s="6"/>
    </row>
    <row r="367" spans="1:5" ht="12.75" customHeight="1" x14ac:dyDescent="0.2">
      <c r="A367" s="216" t="s">
        <v>1353</v>
      </c>
      <c r="B367" s="216" t="str">
        <f>Labels!B168</f>
        <v>Time Period</v>
      </c>
      <c r="C367" s="217" t="s">
        <v>1029</v>
      </c>
      <c r="D367" s="218" t="s">
        <v>376</v>
      </c>
      <c r="E367" s="219" t="s">
        <v>1245</v>
      </c>
    </row>
    <row r="368" spans="1:5" ht="12.75" customHeight="1" x14ac:dyDescent="0.2">
      <c r="A368" s="6"/>
      <c r="B368" s="6"/>
      <c r="C368" s="220"/>
      <c r="D368" s="221"/>
      <c r="E368" s="6"/>
    </row>
    <row r="369" spans="1:5" ht="12.75" customHeight="1" x14ac:dyDescent="0.2">
      <c r="A369" s="216" t="s">
        <v>961</v>
      </c>
      <c r="B369" s="216" t="str">
        <f>Labels!B169</f>
        <v>Untagged Asset Purch Lagged</v>
      </c>
      <c r="C369" s="217" t="s">
        <v>1175</v>
      </c>
      <c r="D369" s="218" t="s">
        <v>376</v>
      </c>
      <c r="E369" s="219" t="s">
        <v>1339</v>
      </c>
    </row>
    <row r="370" spans="1:5" ht="12.75" customHeight="1" x14ac:dyDescent="0.2">
      <c r="A370" s="6"/>
      <c r="B370" s="6"/>
      <c r="C370" s="220"/>
      <c r="D370" s="221"/>
      <c r="E370" s="6"/>
    </row>
    <row r="371" spans="1:5" ht="12.75" customHeight="1" x14ac:dyDescent="0.2">
      <c r="A371" s="216" t="s">
        <v>1000</v>
      </c>
      <c r="B371" s="216" t="str">
        <f>Labels!B170</f>
        <v>Average Wage</v>
      </c>
      <c r="C371" s="217" t="s">
        <v>456</v>
      </c>
      <c r="D371" s="218" t="s">
        <v>376</v>
      </c>
      <c r="E371" s="219" t="s">
        <v>572</v>
      </c>
    </row>
    <row r="372" spans="1:5" ht="12.75" customHeight="1" x14ac:dyDescent="0.2">
      <c r="A372" s="216"/>
      <c r="B372" s="216"/>
      <c r="C372" s="217"/>
      <c r="D372" s="218" t="s">
        <v>595</v>
      </c>
      <c r="E372" s="219" t="s">
        <v>173</v>
      </c>
    </row>
    <row r="373" spans="1:5" ht="12.75" customHeight="1" x14ac:dyDescent="0.2">
      <c r="A373" s="6"/>
      <c r="B373" s="6"/>
      <c r="C373" s="220"/>
      <c r="D373" s="221"/>
      <c r="E373" s="6"/>
    </row>
    <row r="374" spans="1:5" ht="12.75" customHeight="1" x14ac:dyDescent="0.2">
      <c r="A374" s="216" t="s">
        <v>805</v>
      </c>
      <c r="B374" s="216" t="str">
        <f>Labels!B171</f>
        <v>Initial Avg Wage/Yr</v>
      </c>
      <c r="C374" s="217"/>
      <c r="D374" s="218"/>
      <c r="E374" s="219"/>
    </row>
    <row r="375" spans="1:5" ht="12.75" customHeight="1" x14ac:dyDescent="0.2">
      <c r="A375" s="6"/>
      <c r="B375" s="6"/>
      <c r="C375" s="220"/>
      <c r="D375" s="221"/>
      <c r="E375" s="6"/>
    </row>
    <row r="376" spans="1:5" ht="12.75" customHeight="1" x14ac:dyDescent="0.2">
      <c r="A376" s="216" t="s">
        <v>977</v>
      </c>
      <c r="B376" s="216" t="str">
        <f>Labels!B172</f>
        <v>Wage Benefits %</v>
      </c>
      <c r="C376" s="217" t="s">
        <v>1029</v>
      </c>
      <c r="D376" s="218" t="s">
        <v>376</v>
      </c>
      <c r="E376" s="219" t="s">
        <v>1336</v>
      </c>
    </row>
    <row r="377" spans="1:5" ht="12.75" customHeight="1" x14ac:dyDescent="0.2">
      <c r="A377" s="6"/>
      <c r="B377" s="6"/>
      <c r="C377" s="220"/>
      <c r="D377" s="221"/>
      <c r="E377" s="6"/>
    </row>
    <row r="378" spans="1:5" ht="12.75" customHeight="1" x14ac:dyDescent="0.2">
      <c r="A378" s="216" t="s">
        <v>1416</v>
      </c>
      <c r="B378" s="216" t="str">
        <f>Labels!B173</f>
        <v>Wage Expense</v>
      </c>
      <c r="C378" s="217" t="s">
        <v>456</v>
      </c>
      <c r="D378" s="218" t="s">
        <v>376</v>
      </c>
      <c r="E378" s="219" t="s">
        <v>552</v>
      </c>
    </row>
    <row r="379" spans="1:5" ht="12.75" customHeight="1" x14ac:dyDescent="0.2">
      <c r="A379" s="6"/>
      <c r="B379" s="6"/>
      <c r="C379" s="220"/>
      <c r="D379" s="221"/>
      <c r="E379" s="6"/>
    </row>
    <row r="380" spans="1:5" ht="12.75" customHeight="1" x14ac:dyDescent="0.2">
      <c r="A380" s="216" t="s">
        <v>1265</v>
      </c>
      <c r="B380" s="216" t="str">
        <f>Labels!B174</f>
        <v>Wage Increase Yr?</v>
      </c>
      <c r="C380" s="217" t="s">
        <v>1029</v>
      </c>
      <c r="D380" s="218" t="s">
        <v>376</v>
      </c>
      <c r="E380" s="219" t="s">
        <v>1567</v>
      </c>
    </row>
    <row r="381" spans="1:5" ht="12.75" customHeight="1" x14ac:dyDescent="0.2">
      <c r="A381" s="6"/>
      <c r="B381" s="6"/>
      <c r="C381" s="220"/>
      <c r="D381" s="221"/>
      <c r="E381" s="6"/>
    </row>
    <row r="382" spans="1:5" ht="12.75" customHeight="1" x14ac:dyDescent="0.2">
      <c r="A382" s="216" t="s">
        <v>1492</v>
      </c>
      <c r="B382" s="216" t="str">
        <f>Labels!B175</f>
        <v>Wage increase %</v>
      </c>
      <c r="C382" s="217" t="s">
        <v>1029</v>
      </c>
      <c r="D382" s="218" t="s">
        <v>376</v>
      </c>
      <c r="E382" s="219" t="s">
        <v>1266</v>
      </c>
    </row>
    <row r="383" spans="1:5" ht="12.75" customHeight="1" x14ac:dyDescent="0.2">
      <c r="A383" s="6"/>
      <c r="B383" s="6"/>
      <c r="C383" s="220"/>
      <c r="D383" s="221"/>
      <c r="E383" s="6"/>
    </row>
    <row r="384" spans="1:5" ht="12.75" customHeight="1" x14ac:dyDescent="0.2">
      <c r="A384" s="216" t="s">
        <v>1036</v>
      </c>
      <c r="B384" s="216" t="str">
        <f>Labels!B176</f>
        <v>Wage increase period %</v>
      </c>
      <c r="C384" s="217" t="s">
        <v>1029</v>
      </c>
      <c r="D384" s="218" t="s">
        <v>376</v>
      </c>
      <c r="E384" s="219" t="s">
        <v>882</v>
      </c>
    </row>
    <row r="385" spans="1:5" ht="12.75" customHeight="1" x14ac:dyDescent="0.2">
      <c r="A385" s="6"/>
      <c r="B385" s="6"/>
      <c r="C385" s="220"/>
      <c r="D385" s="221"/>
      <c r="E385" s="6"/>
    </row>
    <row r="386" spans="1:5" ht="12.75" customHeight="1" x14ac:dyDescent="0.2">
      <c r="A386" s="216" t="s">
        <v>369</v>
      </c>
      <c r="B386" s="216" t="str">
        <f>Labels!B177</f>
        <v>Wage Tax %</v>
      </c>
      <c r="C386" s="217" t="s">
        <v>1029</v>
      </c>
      <c r="D386" s="218" t="s">
        <v>376</v>
      </c>
      <c r="E386" s="219" t="s">
        <v>387</v>
      </c>
    </row>
  </sheetData>
  <mergeCells count="2">
    <mergeCell ref="A1:D1"/>
    <mergeCell ref="A2:D2"/>
  </mergeCells>
  <pageMargins left="0.25" right="0.25" top="0.5" bottom="0.5" header="0.5" footer="0.5"/>
  <pageSetup paperSize="9" fitToHeight="32767" orientation="landscape" horizontalDpi="300" verticalDpi="300"/>
  <headerFooter alignWithMargins="0"/>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D12"/>
  <sheetViews>
    <sheetView zoomScaleNormal="100" workbookViewId="0"/>
  </sheetViews>
  <sheetFormatPr defaultRowHeight="12.75" customHeight="1" x14ac:dyDescent="0.2"/>
  <cols>
    <col min="1" max="1" width="10.7109375" customWidth="1"/>
    <col min="2" max="2" width="16.7109375" customWidth="1"/>
  </cols>
  <sheetData>
    <row r="1" spans="1:4" ht="12.75" customHeight="1" x14ac:dyDescent="0.2">
      <c r="A1" s="320" t="str">
        <f>Inputs!D7</f>
        <v>ABC Corp.</v>
      </c>
      <c r="B1" s="320"/>
      <c r="C1" s="320"/>
      <c r="D1" s="320"/>
    </row>
    <row r="2" spans="1:4" ht="12.75" customHeight="1" x14ac:dyDescent="0.2">
      <c r="A2" s="320" t="e">
        <f>TEXT('(FnCalls 1)'!A41,"m/d/yyyy")&amp;" to "&amp;TEXT('(FnCalls 1)'!A47-1,"m/d/yyyy")&amp;", Scenario "&amp;1</f>
        <v>#VALUE!</v>
      </c>
      <c r="B2" s="320"/>
      <c r="C2" s="320"/>
      <c r="D2" s="320"/>
    </row>
    <row r="3" spans="1:4" ht="12.75" customHeight="1" x14ac:dyDescent="0.2">
      <c r="A3" s="320" t="str">
        <f>"Plot Support Variables"</f>
        <v>Plot Support Variables</v>
      </c>
      <c r="B3" s="320"/>
      <c r="C3" s="320"/>
      <c r="D3" s="320"/>
    </row>
    <row r="4" spans="1:4" ht="12.75" customHeight="1" x14ac:dyDescent="0.2">
      <c r="A4" s="320" t="str">
        <f>""</f>
        <v/>
      </c>
      <c r="B4" s="320"/>
      <c r="C4" s="320"/>
      <c r="D4" s="320"/>
    </row>
    <row r="5" spans="1:4" ht="12.75" customHeight="1" x14ac:dyDescent="0.2">
      <c r="A5" s="128" t="str">
        <f>Labels!B44</f>
        <v>Depts</v>
      </c>
      <c r="B5" s="222"/>
    </row>
    <row r="6" spans="1:4" ht="12.75" customHeight="1" x14ac:dyDescent="0.2">
      <c r="A6" s="142" t="str">
        <f>"   "&amp;Labels!B213</f>
        <v xml:space="preserve">   Sales</v>
      </c>
      <c r="B6" s="223" t="str">
        <f>Labels!B213</f>
        <v>Sales</v>
      </c>
    </row>
    <row r="7" spans="1:4" ht="12.75" customHeight="1" x14ac:dyDescent="0.2">
      <c r="A7" s="142" t="str">
        <f>"   "&amp;Labels!B214</f>
        <v xml:space="preserve">   Marketing</v>
      </c>
      <c r="B7" s="223" t="str">
        <f>Labels!B214</f>
        <v>Marketing</v>
      </c>
    </row>
    <row r="8" spans="1:4" ht="12.75" customHeight="1" x14ac:dyDescent="0.2">
      <c r="A8" s="91"/>
      <c r="B8" s="91"/>
    </row>
    <row r="9" spans="1:4" ht="12.75" customHeight="1" x14ac:dyDescent="0.2">
      <c r="A9" s="128" t="str">
        <f>Labels!B120</f>
        <v>Products</v>
      </c>
      <c r="B9" s="222"/>
    </row>
    <row r="10" spans="1:4" ht="12.75" customHeight="1" x14ac:dyDescent="0.2">
      <c r="A10" s="142" t="str">
        <f>"   "&amp;Labels!B255</f>
        <v xml:space="preserve">   Product 1</v>
      </c>
      <c r="B10" s="223" t="str">
        <f>Labels!B255</f>
        <v>Product 1</v>
      </c>
    </row>
    <row r="11" spans="1:4" ht="12.75" customHeight="1" x14ac:dyDescent="0.2">
      <c r="A11" s="142" t="str">
        <f>"   "&amp;Labels!B256</f>
        <v xml:space="preserve">   Product 2</v>
      </c>
      <c r="B11" s="223" t="str">
        <f>Labels!B256</f>
        <v>Product 2</v>
      </c>
    </row>
    <row r="12" spans="1:4" ht="12.75" customHeight="1" x14ac:dyDescent="0.2">
      <c r="A12" s="131" t="str">
        <f>"   "&amp;Labels!C254</f>
        <v xml:space="preserve">   Total</v>
      </c>
      <c r="B12" s="224" t="str">
        <f>B10&amp;B11</f>
        <v>Product 1Product 2</v>
      </c>
    </row>
  </sheetData>
  <mergeCells count="4">
    <mergeCell ref="A1:D1"/>
    <mergeCell ref="A2:D2"/>
    <mergeCell ref="A3:D3"/>
    <mergeCell ref="A4:D4"/>
  </mergeCells>
  <pageMargins left="0.25" right="0.25" top="0.5" bottom="0.5" header="0.5" footer="0.5"/>
  <pageSetup paperSize="9" fitToHeight="32767" orientation="landscape" horizontalDpi="300" verticalDpi="300"/>
  <headerFooter alignWithMargins="0"/>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H262"/>
  <sheetViews>
    <sheetView zoomScaleNormal="100" workbookViewId="0"/>
  </sheetViews>
  <sheetFormatPr defaultRowHeight="12.75" customHeight="1" x14ac:dyDescent="0.2"/>
  <sheetData>
    <row r="1" spans="1:8" ht="12.75" customHeight="1" x14ac:dyDescent="0.2">
      <c r="A1" s="320" t="str">
        <f>Inputs!D7</f>
        <v>ABC Corp.</v>
      </c>
      <c r="B1" s="320"/>
      <c r="C1" s="320"/>
      <c r="D1" s="320"/>
    </row>
    <row r="2" spans="1:8" ht="12.75" customHeight="1" x14ac:dyDescent="0.2">
      <c r="A2" s="320" t="e">
        <f>TEXT('(FnCalls 1)'!A41,"m/d/yyyy")&amp;" to "&amp;TEXT('(FnCalls 1)'!A47-1,"m/d/yyyy")&amp;", Scenario "&amp;1</f>
        <v>#VALUE!</v>
      </c>
      <c r="B2" s="320"/>
      <c r="C2" s="320"/>
      <c r="D2" s="320"/>
    </row>
    <row r="3" spans="1:8" ht="12.75" customHeight="1" x14ac:dyDescent="0.2">
      <c r="A3" s="1" t="str">
        <f>"Short_Debt_1"</f>
        <v>Short_Debt_1</v>
      </c>
    </row>
    <row r="4" spans="1:8" ht="12.75" customHeight="1" x14ac:dyDescent="0.2">
      <c r="B4" s="10" t="str">
        <f>'(FnCalls 1)'!F40</f>
        <v>MMM 2010</v>
      </c>
      <c r="C4" s="11" t="str">
        <f>'(FnCalls 1)'!F41</f>
        <v>MMM 2011</v>
      </c>
      <c r="D4" s="11" t="str">
        <f>'(FnCalls 1)'!F42</f>
        <v>MMM 2011</v>
      </c>
      <c r="E4" s="11" t="str">
        <f>'(FnCalls 1)'!F43</f>
        <v>MMM 2011</v>
      </c>
      <c r="F4" s="11" t="str">
        <f>'(FnCalls 1)'!F44</f>
        <v>MMM 2011</v>
      </c>
      <c r="G4" s="11" t="str">
        <f>'(FnCalls 1)'!F45</f>
        <v>MMM 2011</v>
      </c>
      <c r="H4" s="12" t="str">
        <f>'(FnCalls 1)'!F46</f>
        <v>MMM 2011</v>
      </c>
    </row>
    <row r="5" spans="1:8" ht="12.75" customHeight="1" x14ac:dyDescent="0.2">
      <c r="A5" s="128" t="str">
        <f>Labels!B259</f>
        <v>Location 1</v>
      </c>
      <c r="B5" s="141"/>
      <c r="C5" s="141">
        <f>Inputs!D157*1/('(FnCalls 1)'!A42-'(FnCalls 1)'!A41)*'(Tables)'!B170</f>
        <v>0</v>
      </c>
      <c r="D5" s="141">
        <f>Inputs!E157*1/('(FnCalls 1)'!A43-'(FnCalls 1)'!A42)*'(Tables)'!C170</f>
        <v>0</v>
      </c>
      <c r="E5" s="141">
        <f>Inputs!F157*1/('(FnCalls 1)'!A44-'(FnCalls 1)'!A43)*'(Tables)'!D170</f>
        <v>0</v>
      </c>
      <c r="F5" s="141">
        <f>Inputs!G157*1/('(FnCalls 1)'!A45-'(FnCalls 1)'!A44)*'(Tables)'!E170</f>
        <v>0</v>
      </c>
      <c r="G5" s="141">
        <f>Inputs!H157*1/('(FnCalls 1)'!A46-'(FnCalls 1)'!A45)*'(Tables)'!F170</f>
        <v>0</v>
      </c>
      <c r="H5" s="225">
        <f>Inputs!I157*1/('(FnCalls 1)'!A47-'(FnCalls 1)'!A46)*'(Tables)'!G170</f>
        <v>0</v>
      </c>
    </row>
    <row r="6" spans="1:8" ht="12.75" customHeight="1" x14ac:dyDescent="0.2">
      <c r="A6" s="134" t="str">
        <f>Labels!B260</f>
        <v>Location 2</v>
      </c>
      <c r="B6" s="145"/>
      <c r="C6" s="145">
        <f>Inputs!D157*1/('(FnCalls 1)'!A42-'(FnCalls 1)'!A41)*'(Tables)'!B171</f>
        <v>0</v>
      </c>
      <c r="D6" s="145">
        <f>Inputs!E157*1/('(FnCalls 1)'!A43-'(FnCalls 1)'!A42)*'(Tables)'!C171</f>
        <v>0</v>
      </c>
      <c r="E6" s="145">
        <f>Inputs!F157*1/('(FnCalls 1)'!A44-'(FnCalls 1)'!A43)*'(Tables)'!D171</f>
        <v>0</v>
      </c>
      <c r="F6" s="145">
        <f>Inputs!G157*1/('(FnCalls 1)'!A45-'(FnCalls 1)'!A44)*'(Tables)'!E171</f>
        <v>0</v>
      </c>
      <c r="G6" s="145">
        <f>Inputs!H157*1/('(FnCalls 1)'!A46-'(FnCalls 1)'!A45)*'(Tables)'!F171</f>
        <v>0</v>
      </c>
      <c r="H6" s="226">
        <f>Inputs!I157*1/('(FnCalls 1)'!A47-'(FnCalls 1)'!A46)*'(Tables)'!G171</f>
        <v>0</v>
      </c>
    </row>
    <row r="7" spans="1:8" ht="12.75" customHeight="1" x14ac:dyDescent="0.2">
      <c r="A7" s="91" t="str">
        <f>Labels!C258</f>
        <v>Total</v>
      </c>
      <c r="B7" s="149">
        <f t="shared" ref="B7:H7" si="0">SUM(B5:B6)</f>
        <v>0</v>
      </c>
      <c r="C7" s="149">
        <f t="shared" si="0"/>
        <v>0</v>
      </c>
      <c r="D7" s="149">
        <f t="shared" si="0"/>
        <v>0</v>
      </c>
      <c r="E7" s="149">
        <f t="shared" si="0"/>
        <v>0</v>
      </c>
      <c r="F7" s="149">
        <f t="shared" si="0"/>
        <v>0</v>
      </c>
      <c r="G7" s="149">
        <f t="shared" si="0"/>
        <v>0</v>
      </c>
      <c r="H7" s="227">
        <f t="shared" si="0"/>
        <v>0</v>
      </c>
    </row>
    <row r="8" spans="1:8" ht="12.75" customHeight="1" x14ac:dyDescent="0.2">
      <c r="A8" s="1" t="str">
        <f>"Prodn_Units_1"</f>
        <v>Prodn_Units_1</v>
      </c>
    </row>
    <row r="9" spans="1:8" ht="12.75" customHeight="1" x14ac:dyDescent="0.2">
      <c r="B9" s="10" t="str">
        <f>'(FnCalls 1)'!F41</f>
        <v>MMM 2011</v>
      </c>
      <c r="C9" s="11" t="str">
        <f>'(FnCalls 1)'!F42</f>
        <v>MMM 2011</v>
      </c>
      <c r="D9" s="11" t="str">
        <f>'(FnCalls 1)'!F43</f>
        <v>MMM 2011</v>
      </c>
      <c r="E9" s="11" t="str">
        <f>'(FnCalls 1)'!F44</f>
        <v>MMM 2011</v>
      </c>
      <c r="F9" s="11" t="str">
        <f>'(FnCalls 1)'!F45</f>
        <v>MMM 2011</v>
      </c>
      <c r="G9" s="12" t="str">
        <f>'(FnCalls 1)'!F46</f>
        <v>MMM 2011</v>
      </c>
    </row>
    <row r="10" spans="1:8" ht="12.75" customHeight="1" x14ac:dyDescent="0.2">
      <c r="A10" s="128" t="str">
        <f>Labels!B255</f>
        <v>Product 1</v>
      </c>
      <c r="B10" s="169"/>
      <c r="C10" s="169"/>
      <c r="D10" s="169"/>
      <c r="E10" s="169"/>
      <c r="F10" s="169"/>
      <c r="G10" s="228"/>
    </row>
    <row r="11" spans="1:8" ht="12.75" customHeight="1" x14ac:dyDescent="0.2">
      <c r="A11" s="142" t="str">
        <f>"   "&amp;Labels!B259</f>
        <v xml:space="preserve">   Location 1</v>
      </c>
      <c r="B11" s="171">
        <f>Sales!B65*Inputs!D171*1/('(FnCalls 1)'!A42-'(FnCalls 1)'!A41)</f>
        <v>0</v>
      </c>
      <c r="C11" s="171">
        <f>Sales!C65*Inputs!E171*1/('(FnCalls 1)'!A43-'(FnCalls 1)'!A42)</f>
        <v>0</v>
      </c>
      <c r="D11" s="171">
        <f>Sales!D65*Inputs!F171*1/('(FnCalls 1)'!A44-'(FnCalls 1)'!A43)</f>
        <v>0</v>
      </c>
      <c r="E11" s="171">
        <f>Sales!E65*Inputs!G171*1/('(FnCalls 1)'!A45-'(FnCalls 1)'!A44)</f>
        <v>0</v>
      </c>
      <c r="F11" s="171">
        <f>Sales!F65*Inputs!H171*1/('(FnCalls 1)'!A46-'(FnCalls 1)'!A45)</f>
        <v>0</v>
      </c>
      <c r="G11" s="229">
        <f>Sales!G65*Inputs!I171*1/('(FnCalls 1)'!A47-'(FnCalls 1)'!A46)</f>
        <v>0</v>
      </c>
    </row>
    <row r="12" spans="1:8" ht="12.75" customHeight="1" x14ac:dyDescent="0.2">
      <c r="A12" s="142" t="str">
        <f>"   "&amp;Labels!B260</f>
        <v xml:space="preserve">   Location 2</v>
      </c>
      <c r="B12" s="171">
        <f>Sales!B66*Inputs!D171*1/('(FnCalls 1)'!A42-'(FnCalls 1)'!A41)</f>
        <v>0</v>
      </c>
      <c r="C12" s="171">
        <f>Sales!C66*Inputs!E171*1/('(FnCalls 1)'!A43-'(FnCalls 1)'!A42)</f>
        <v>0</v>
      </c>
      <c r="D12" s="171">
        <f>Sales!D66*Inputs!F171*1/('(FnCalls 1)'!A44-'(FnCalls 1)'!A43)</f>
        <v>0</v>
      </c>
      <c r="E12" s="171">
        <f>Sales!E66*Inputs!G171*1/('(FnCalls 1)'!A45-'(FnCalls 1)'!A44)</f>
        <v>0</v>
      </c>
      <c r="F12" s="171">
        <f>Sales!F66*Inputs!H171*1/('(FnCalls 1)'!A46-'(FnCalls 1)'!A45)</f>
        <v>0</v>
      </c>
      <c r="G12" s="229">
        <f>Sales!G66*Inputs!I171*1/('(FnCalls 1)'!A47-'(FnCalls 1)'!A46)</f>
        <v>0</v>
      </c>
    </row>
    <row r="13" spans="1:8" ht="12.75" customHeight="1" x14ac:dyDescent="0.2">
      <c r="A13" s="134" t="str">
        <f>"   "&amp;Labels!C258</f>
        <v xml:space="preserve">   Total</v>
      </c>
      <c r="B13" s="174">
        <f t="shared" ref="B13:G13" si="1">SUM(B11:B12)</f>
        <v>0</v>
      </c>
      <c r="C13" s="174">
        <f t="shared" si="1"/>
        <v>0</v>
      </c>
      <c r="D13" s="174">
        <f t="shared" si="1"/>
        <v>0</v>
      </c>
      <c r="E13" s="174">
        <f t="shared" si="1"/>
        <v>0</v>
      </c>
      <c r="F13" s="174">
        <f t="shared" si="1"/>
        <v>0</v>
      </c>
      <c r="G13" s="230">
        <f t="shared" si="1"/>
        <v>0</v>
      </c>
    </row>
    <row r="14" spans="1:8" ht="12.75" customHeight="1" x14ac:dyDescent="0.2">
      <c r="A14" s="134" t="str">
        <f>Labels!B256</f>
        <v>Product 2</v>
      </c>
      <c r="B14" s="174"/>
      <c r="C14" s="174"/>
      <c r="D14" s="174"/>
      <c r="E14" s="174"/>
      <c r="F14" s="174"/>
      <c r="G14" s="230"/>
    </row>
    <row r="15" spans="1:8" ht="12.75" customHeight="1" x14ac:dyDescent="0.2">
      <c r="A15" s="142" t="str">
        <f>"   "&amp;Labels!B259</f>
        <v xml:space="preserve">   Location 1</v>
      </c>
      <c r="B15" s="171">
        <f>Sales!B69*Inputs!D172*1/('(FnCalls 1)'!A42-'(FnCalls 1)'!A41)</f>
        <v>0</v>
      </c>
      <c r="C15" s="171">
        <f>Sales!C69*Inputs!E172*1/('(FnCalls 1)'!A43-'(FnCalls 1)'!A42)</f>
        <v>0</v>
      </c>
      <c r="D15" s="171">
        <f>Sales!D69*Inputs!F172*1/('(FnCalls 1)'!A44-'(FnCalls 1)'!A43)</f>
        <v>0</v>
      </c>
      <c r="E15" s="171">
        <f>Sales!E69*Inputs!G172*1/('(FnCalls 1)'!A45-'(FnCalls 1)'!A44)</f>
        <v>0</v>
      </c>
      <c r="F15" s="171">
        <f>Sales!F69*Inputs!H172*1/('(FnCalls 1)'!A46-'(FnCalls 1)'!A45)</f>
        <v>0</v>
      </c>
      <c r="G15" s="229">
        <f>Sales!G69*Inputs!I172*1/('(FnCalls 1)'!A47-'(FnCalls 1)'!A46)</f>
        <v>0</v>
      </c>
    </row>
    <row r="16" spans="1:8" ht="12.75" customHeight="1" x14ac:dyDescent="0.2">
      <c r="A16" s="142" t="str">
        <f>"   "&amp;Labels!B260</f>
        <v xml:space="preserve">   Location 2</v>
      </c>
      <c r="B16" s="171">
        <f>Sales!B70*Inputs!D172*1/('(FnCalls 1)'!A42-'(FnCalls 1)'!A41)</f>
        <v>0</v>
      </c>
      <c r="C16" s="171">
        <f>Sales!C70*Inputs!E172*1/('(FnCalls 1)'!A43-'(FnCalls 1)'!A42)</f>
        <v>0</v>
      </c>
      <c r="D16" s="171">
        <f>Sales!D70*Inputs!F172*1/('(FnCalls 1)'!A44-'(FnCalls 1)'!A43)</f>
        <v>0</v>
      </c>
      <c r="E16" s="171">
        <f>Sales!E70*Inputs!G172*1/('(FnCalls 1)'!A45-'(FnCalls 1)'!A44)</f>
        <v>0</v>
      </c>
      <c r="F16" s="171">
        <f>Sales!F70*Inputs!H172*1/('(FnCalls 1)'!A46-'(FnCalls 1)'!A45)</f>
        <v>0</v>
      </c>
      <c r="G16" s="229">
        <f>Sales!G70*Inputs!I172*1/('(FnCalls 1)'!A47-'(FnCalls 1)'!A46)</f>
        <v>0</v>
      </c>
    </row>
    <row r="17" spans="1:7" ht="12.75" customHeight="1" x14ac:dyDescent="0.2">
      <c r="A17" s="134" t="str">
        <f>"   "&amp;Labels!C258</f>
        <v xml:space="preserve">   Total</v>
      </c>
      <c r="B17" s="174">
        <f t="shared" ref="B17:G17" si="2">SUM(B15:B16)</f>
        <v>0</v>
      </c>
      <c r="C17" s="174">
        <f t="shared" si="2"/>
        <v>0</v>
      </c>
      <c r="D17" s="174">
        <f t="shared" si="2"/>
        <v>0</v>
      </c>
      <c r="E17" s="174">
        <f t="shared" si="2"/>
        <v>0</v>
      </c>
      <c r="F17" s="174">
        <f t="shared" si="2"/>
        <v>0</v>
      </c>
      <c r="G17" s="230">
        <f t="shared" si="2"/>
        <v>0</v>
      </c>
    </row>
    <row r="18" spans="1:7" ht="12.75" customHeight="1" x14ac:dyDescent="0.2">
      <c r="A18" s="91" t="str">
        <f>Labels!C254</f>
        <v>Total</v>
      </c>
      <c r="B18" s="231">
        <f t="shared" ref="B18:G18" si="3">SUM(B13,B17)</f>
        <v>0</v>
      </c>
      <c r="C18" s="231">
        <f t="shared" si="3"/>
        <v>0</v>
      </c>
      <c r="D18" s="231">
        <f t="shared" si="3"/>
        <v>0</v>
      </c>
      <c r="E18" s="231">
        <f t="shared" si="3"/>
        <v>0</v>
      </c>
      <c r="F18" s="231">
        <f t="shared" si="3"/>
        <v>0</v>
      </c>
      <c r="G18" s="232">
        <f t="shared" si="3"/>
        <v>0</v>
      </c>
    </row>
    <row r="19" spans="1:7" ht="12.75" customHeight="1" x14ac:dyDescent="0.2">
      <c r="A19" s="142" t="str">
        <f>"   "&amp;Labels!B259</f>
        <v xml:space="preserve">   Location 1</v>
      </c>
      <c r="B19" s="171">
        <f t="shared" ref="B19:G21" si="4">SUM(B11,B15)</f>
        <v>0</v>
      </c>
      <c r="C19" s="171">
        <f t="shared" si="4"/>
        <v>0</v>
      </c>
      <c r="D19" s="171">
        <f t="shared" si="4"/>
        <v>0</v>
      </c>
      <c r="E19" s="171">
        <f t="shared" si="4"/>
        <v>0</v>
      </c>
      <c r="F19" s="171">
        <f t="shared" si="4"/>
        <v>0</v>
      </c>
      <c r="G19" s="229">
        <f t="shared" si="4"/>
        <v>0</v>
      </c>
    </row>
    <row r="20" spans="1:7" ht="12.75" customHeight="1" x14ac:dyDescent="0.2">
      <c r="A20" s="142" t="str">
        <f>"   "&amp;Labels!B260</f>
        <v xml:space="preserve">   Location 2</v>
      </c>
      <c r="B20" s="171">
        <f t="shared" si="4"/>
        <v>0</v>
      </c>
      <c r="C20" s="171">
        <f t="shared" si="4"/>
        <v>0</v>
      </c>
      <c r="D20" s="171">
        <f t="shared" si="4"/>
        <v>0</v>
      </c>
      <c r="E20" s="171">
        <f t="shared" si="4"/>
        <v>0</v>
      </c>
      <c r="F20" s="171">
        <f t="shared" si="4"/>
        <v>0</v>
      </c>
      <c r="G20" s="229">
        <f t="shared" si="4"/>
        <v>0</v>
      </c>
    </row>
    <row r="21" spans="1:7" ht="12.75" customHeight="1" x14ac:dyDescent="0.2">
      <c r="A21" s="131" t="str">
        <f>"   "&amp;Labels!C258</f>
        <v xml:space="preserve">   Total</v>
      </c>
      <c r="B21" s="177">
        <f t="shared" si="4"/>
        <v>0</v>
      </c>
      <c r="C21" s="177">
        <f t="shared" si="4"/>
        <v>0</v>
      </c>
      <c r="D21" s="177">
        <f t="shared" si="4"/>
        <v>0</v>
      </c>
      <c r="E21" s="177">
        <f t="shared" si="4"/>
        <v>0</v>
      </c>
      <c r="F21" s="177">
        <f t="shared" si="4"/>
        <v>0</v>
      </c>
      <c r="G21" s="233">
        <f t="shared" si="4"/>
        <v>0</v>
      </c>
    </row>
    <row r="22" spans="1:7" ht="12.75" customHeight="1" x14ac:dyDescent="0.2">
      <c r="A22" s="1" t="str">
        <f>"Employee_Rel_Exp_1"</f>
        <v>Employee_Rel_Exp_1</v>
      </c>
    </row>
    <row r="23" spans="1:7" ht="12.75" customHeight="1" x14ac:dyDescent="0.2">
      <c r="B23" s="10" t="str">
        <f>'(FnCalls 1)'!F41</f>
        <v>MMM 2011</v>
      </c>
      <c r="C23" s="11" t="str">
        <f>'(FnCalls 1)'!F42</f>
        <v>MMM 2011</v>
      </c>
      <c r="D23" s="11" t="str">
        <f>'(FnCalls 1)'!F43</f>
        <v>MMM 2011</v>
      </c>
      <c r="E23" s="11" t="str">
        <f>'(FnCalls 1)'!F44</f>
        <v>MMM 2011</v>
      </c>
      <c r="F23" s="11" t="str">
        <f>'(FnCalls 1)'!F45</f>
        <v>MMM 2011</v>
      </c>
      <c r="G23" s="12" t="str">
        <f>'(FnCalls 1)'!F46</f>
        <v>MMM 2011</v>
      </c>
    </row>
    <row r="24" spans="1:7" ht="12.75" customHeight="1" x14ac:dyDescent="0.2">
      <c r="A24" s="128" t="str">
        <f>Labels!B213</f>
        <v>Sales</v>
      </c>
      <c r="B24" s="188"/>
      <c r="C24" s="188"/>
      <c r="D24" s="188"/>
      <c r="E24" s="188"/>
      <c r="F24" s="188"/>
      <c r="G24" s="234"/>
    </row>
    <row r="25" spans="1:7" ht="12.75" customHeight="1" x14ac:dyDescent="0.2">
      <c r="A25" s="142" t="str">
        <f>"   "&amp;Labels!B222</f>
        <v xml:space="preserve">   Supplies</v>
      </c>
      <c r="B25" s="190"/>
      <c r="C25" s="190"/>
      <c r="D25" s="190"/>
      <c r="E25" s="190"/>
      <c r="F25" s="190"/>
      <c r="G25" s="235"/>
    </row>
    <row r="26" spans="1:7" ht="12.75" customHeight="1" x14ac:dyDescent="0.2">
      <c r="A26" s="144" t="str">
        <f>"      "&amp;Labels!B234</f>
        <v xml:space="preserve">      Job Level 1</v>
      </c>
      <c r="B26" s="137">
        <f>Inputs!D123*'Indirect Labor'!B25/12</f>
        <v>0</v>
      </c>
      <c r="C26" s="137">
        <f>Inputs!E123*'Indirect Labor'!C25/12</f>
        <v>0</v>
      </c>
      <c r="D26" s="137">
        <f>Inputs!F123*'Indirect Labor'!D25/12</f>
        <v>0</v>
      </c>
      <c r="E26" s="137">
        <f>Inputs!G123*'Indirect Labor'!E25/12</f>
        <v>0</v>
      </c>
      <c r="F26" s="137">
        <f>Inputs!H123*'Indirect Labor'!F25/12</f>
        <v>0</v>
      </c>
      <c r="G26" s="236">
        <f>Inputs!I123*'Indirect Labor'!G25/12</f>
        <v>0</v>
      </c>
    </row>
    <row r="27" spans="1:7" ht="12.75" customHeight="1" x14ac:dyDescent="0.2">
      <c r="A27" s="144" t="str">
        <f>"      "&amp;Labels!B235</f>
        <v xml:space="preserve">      Job Level 2</v>
      </c>
      <c r="B27" s="137">
        <f>Inputs!D123*'Indirect Labor'!B26/12</f>
        <v>0</v>
      </c>
      <c r="C27" s="137">
        <f>Inputs!E123*'Indirect Labor'!C26/12</f>
        <v>0</v>
      </c>
      <c r="D27" s="137">
        <f>Inputs!F123*'Indirect Labor'!D26/12</f>
        <v>0</v>
      </c>
      <c r="E27" s="137">
        <f>Inputs!G123*'Indirect Labor'!E26/12</f>
        <v>0</v>
      </c>
      <c r="F27" s="137">
        <f>Inputs!H123*'Indirect Labor'!F26/12</f>
        <v>0</v>
      </c>
      <c r="G27" s="236">
        <f>Inputs!I123*'Indirect Labor'!G26/12</f>
        <v>0</v>
      </c>
    </row>
    <row r="28" spans="1:7" ht="12.75" customHeight="1" x14ac:dyDescent="0.2">
      <c r="A28" s="142" t="str">
        <f>"      "&amp;Labels!C233</f>
        <v xml:space="preserve">      Total</v>
      </c>
      <c r="B28" s="190">
        <f t="shared" ref="B28:G28" si="5">SUM(B26:B27)</f>
        <v>0</v>
      </c>
      <c r="C28" s="190">
        <f t="shared" si="5"/>
        <v>0</v>
      </c>
      <c r="D28" s="190">
        <f t="shared" si="5"/>
        <v>0</v>
      </c>
      <c r="E28" s="190">
        <f t="shared" si="5"/>
        <v>0</v>
      </c>
      <c r="F28" s="190">
        <f t="shared" si="5"/>
        <v>0</v>
      </c>
      <c r="G28" s="235">
        <f t="shared" si="5"/>
        <v>0</v>
      </c>
    </row>
    <row r="29" spans="1:7" ht="12.75" customHeight="1" x14ac:dyDescent="0.2">
      <c r="A29" s="142" t="str">
        <f>"   "&amp;Labels!B223</f>
        <v xml:space="preserve">   Travel Entertainment</v>
      </c>
      <c r="B29" s="190"/>
      <c r="C29" s="190"/>
      <c r="D29" s="190"/>
      <c r="E29" s="190"/>
      <c r="F29" s="190"/>
      <c r="G29" s="235"/>
    </row>
    <row r="30" spans="1:7" ht="12.75" customHeight="1" x14ac:dyDescent="0.2">
      <c r="A30" s="144" t="str">
        <f>"      "&amp;Labels!B234</f>
        <v xml:space="preserve">      Job Level 1</v>
      </c>
      <c r="B30" s="137">
        <f>Inputs!D124*'Indirect Labor'!B25/12</f>
        <v>0</v>
      </c>
      <c r="C30" s="137">
        <f>Inputs!E124*'Indirect Labor'!C25/12</f>
        <v>0</v>
      </c>
      <c r="D30" s="137">
        <f>Inputs!F124*'Indirect Labor'!D25/12</f>
        <v>0</v>
      </c>
      <c r="E30" s="137">
        <f>Inputs!G124*'Indirect Labor'!E25/12</f>
        <v>0</v>
      </c>
      <c r="F30" s="137">
        <f>Inputs!H124*'Indirect Labor'!F25/12</f>
        <v>0</v>
      </c>
      <c r="G30" s="236">
        <f>Inputs!I124*'Indirect Labor'!G25/12</f>
        <v>0</v>
      </c>
    </row>
    <row r="31" spans="1:7" ht="12.75" customHeight="1" x14ac:dyDescent="0.2">
      <c r="A31" s="144" t="str">
        <f>"      "&amp;Labels!B235</f>
        <v xml:space="preserve">      Job Level 2</v>
      </c>
      <c r="B31" s="137">
        <f>Inputs!D124*'Indirect Labor'!B26/12</f>
        <v>0</v>
      </c>
      <c r="C31" s="137">
        <f>Inputs!E124*'Indirect Labor'!C26/12</f>
        <v>0</v>
      </c>
      <c r="D31" s="137">
        <f>Inputs!F124*'Indirect Labor'!D26/12</f>
        <v>0</v>
      </c>
      <c r="E31" s="137">
        <f>Inputs!G124*'Indirect Labor'!E26/12</f>
        <v>0</v>
      </c>
      <c r="F31" s="137">
        <f>Inputs!H124*'Indirect Labor'!F26/12</f>
        <v>0</v>
      </c>
      <c r="G31" s="236">
        <f>Inputs!I124*'Indirect Labor'!G26/12</f>
        <v>0</v>
      </c>
    </row>
    <row r="32" spans="1:7" ht="12.75" customHeight="1" x14ac:dyDescent="0.2">
      <c r="A32" s="142" t="str">
        <f>"      "&amp;Labels!C233</f>
        <v xml:space="preserve">      Total</v>
      </c>
      <c r="B32" s="190">
        <f t="shared" ref="B32:G32" si="6">SUM(B30:B31)</f>
        <v>0</v>
      </c>
      <c r="C32" s="190">
        <f t="shared" si="6"/>
        <v>0</v>
      </c>
      <c r="D32" s="190">
        <f t="shared" si="6"/>
        <v>0</v>
      </c>
      <c r="E32" s="190">
        <f t="shared" si="6"/>
        <v>0</v>
      </c>
      <c r="F32" s="190">
        <f t="shared" si="6"/>
        <v>0</v>
      </c>
      <c r="G32" s="235">
        <f t="shared" si="6"/>
        <v>0</v>
      </c>
    </row>
    <row r="33" spans="1:7" ht="12.75" customHeight="1" x14ac:dyDescent="0.2">
      <c r="A33" s="142" t="str">
        <f>"   "&amp;Labels!B224</f>
        <v xml:space="preserve">   Other</v>
      </c>
      <c r="B33" s="190"/>
      <c r="C33" s="190"/>
      <c r="D33" s="190"/>
      <c r="E33" s="190"/>
      <c r="F33" s="190"/>
      <c r="G33" s="235"/>
    </row>
    <row r="34" spans="1:7" ht="12.75" customHeight="1" x14ac:dyDescent="0.2">
      <c r="A34" s="144" t="str">
        <f>"      "&amp;Labels!B234</f>
        <v xml:space="preserve">      Job Level 1</v>
      </c>
      <c r="B34" s="137">
        <f>Inputs!D125*'Indirect Labor'!B25/12</f>
        <v>0</v>
      </c>
      <c r="C34" s="137">
        <f>Inputs!E125*'Indirect Labor'!C25/12</f>
        <v>0</v>
      </c>
      <c r="D34" s="137">
        <f>Inputs!F125*'Indirect Labor'!D25/12</f>
        <v>0</v>
      </c>
      <c r="E34" s="137">
        <f>Inputs!G125*'Indirect Labor'!E25/12</f>
        <v>0</v>
      </c>
      <c r="F34" s="137">
        <f>Inputs!H125*'Indirect Labor'!F25/12</f>
        <v>0</v>
      </c>
      <c r="G34" s="236">
        <f>Inputs!I125*'Indirect Labor'!G25/12</f>
        <v>0</v>
      </c>
    </row>
    <row r="35" spans="1:7" ht="12.75" customHeight="1" x14ac:dyDescent="0.2">
      <c r="A35" s="144" t="str">
        <f>"      "&amp;Labels!B235</f>
        <v xml:space="preserve">      Job Level 2</v>
      </c>
      <c r="B35" s="137">
        <f>Inputs!D125*'Indirect Labor'!B26/12</f>
        <v>0</v>
      </c>
      <c r="C35" s="137">
        <f>Inputs!E125*'Indirect Labor'!C26/12</f>
        <v>0</v>
      </c>
      <c r="D35" s="137">
        <f>Inputs!F125*'Indirect Labor'!D26/12</f>
        <v>0</v>
      </c>
      <c r="E35" s="137">
        <f>Inputs!G125*'Indirect Labor'!E26/12</f>
        <v>0</v>
      </c>
      <c r="F35" s="137">
        <f>Inputs!H125*'Indirect Labor'!F26/12</f>
        <v>0</v>
      </c>
      <c r="G35" s="236">
        <f>Inputs!I125*'Indirect Labor'!G26/12</f>
        <v>0</v>
      </c>
    </row>
    <row r="36" spans="1:7" ht="12.75" customHeight="1" x14ac:dyDescent="0.2">
      <c r="A36" s="142" t="str">
        <f>"      "&amp;Labels!C233</f>
        <v xml:space="preserve">      Total</v>
      </c>
      <c r="B36" s="190">
        <f t="shared" ref="B36:G36" si="7">SUM(B34:B35)</f>
        <v>0</v>
      </c>
      <c r="C36" s="190">
        <f t="shared" si="7"/>
        <v>0</v>
      </c>
      <c r="D36" s="190">
        <f t="shared" si="7"/>
        <v>0</v>
      </c>
      <c r="E36" s="190">
        <f t="shared" si="7"/>
        <v>0</v>
      </c>
      <c r="F36" s="190">
        <f t="shared" si="7"/>
        <v>0</v>
      </c>
      <c r="G36" s="235">
        <f t="shared" si="7"/>
        <v>0</v>
      </c>
    </row>
    <row r="37" spans="1:7" ht="12.75" customHeight="1" x14ac:dyDescent="0.2">
      <c r="A37" s="134" t="str">
        <f>"   "&amp;Labels!C221</f>
        <v xml:space="preserve">   Total</v>
      </c>
      <c r="B37" s="191">
        <f t="shared" ref="B37:G37" si="8">SUM(B28,B32,B36)</f>
        <v>0</v>
      </c>
      <c r="C37" s="191">
        <f t="shared" si="8"/>
        <v>0</v>
      </c>
      <c r="D37" s="191">
        <f t="shared" si="8"/>
        <v>0</v>
      </c>
      <c r="E37" s="191">
        <f t="shared" si="8"/>
        <v>0</v>
      </c>
      <c r="F37" s="191">
        <f t="shared" si="8"/>
        <v>0</v>
      </c>
      <c r="G37" s="237">
        <f t="shared" si="8"/>
        <v>0</v>
      </c>
    </row>
    <row r="38" spans="1:7" ht="12.75" customHeight="1" x14ac:dyDescent="0.2">
      <c r="A38" s="144" t="str">
        <f>"      "&amp;Labels!B234</f>
        <v xml:space="preserve">      Job Level 1</v>
      </c>
      <c r="B38" s="137">
        <f t="shared" ref="B38:G40" si="9">SUM(B26,B30,B34)</f>
        <v>0</v>
      </c>
      <c r="C38" s="137">
        <f t="shared" si="9"/>
        <v>0</v>
      </c>
      <c r="D38" s="137">
        <f t="shared" si="9"/>
        <v>0</v>
      </c>
      <c r="E38" s="137">
        <f t="shared" si="9"/>
        <v>0</v>
      </c>
      <c r="F38" s="137">
        <f t="shared" si="9"/>
        <v>0</v>
      </c>
      <c r="G38" s="236">
        <f t="shared" si="9"/>
        <v>0</v>
      </c>
    </row>
    <row r="39" spans="1:7" ht="12.75" customHeight="1" x14ac:dyDescent="0.2">
      <c r="A39" s="144" t="str">
        <f>"      "&amp;Labels!B235</f>
        <v xml:space="preserve">      Job Level 2</v>
      </c>
      <c r="B39" s="137">
        <f t="shared" si="9"/>
        <v>0</v>
      </c>
      <c r="C39" s="137">
        <f t="shared" si="9"/>
        <v>0</v>
      </c>
      <c r="D39" s="137">
        <f t="shared" si="9"/>
        <v>0</v>
      </c>
      <c r="E39" s="137">
        <f t="shared" si="9"/>
        <v>0</v>
      </c>
      <c r="F39" s="137">
        <f t="shared" si="9"/>
        <v>0</v>
      </c>
      <c r="G39" s="236">
        <f t="shared" si="9"/>
        <v>0</v>
      </c>
    </row>
    <row r="40" spans="1:7" ht="12.75" customHeight="1" x14ac:dyDescent="0.2">
      <c r="A40" s="142" t="str">
        <f>"      "&amp;Labels!C233</f>
        <v xml:space="preserve">      Total</v>
      </c>
      <c r="B40" s="190">
        <f t="shared" si="9"/>
        <v>0</v>
      </c>
      <c r="C40" s="190">
        <f t="shared" si="9"/>
        <v>0</v>
      </c>
      <c r="D40" s="190">
        <f t="shared" si="9"/>
        <v>0</v>
      </c>
      <c r="E40" s="190">
        <f t="shared" si="9"/>
        <v>0</v>
      </c>
      <c r="F40" s="190">
        <f t="shared" si="9"/>
        <v>0</v>
      </c>
      <c r="G40" s="235">
        <f t="shared" si="9"/>
        <v>0</v>
      </c>
    </row>
    <row r="41" spans="1:7" ht="12.75" customHeight="1" x14ac:dyDescent="0.2">
      <c r="A41" s="134" t="str">
        <f>Labels!B214</f>
        <v>Marketing</v>
      </c>
      <c r="B41" s="191"/>
      <c r="C41" s="191"/>
      <c r="D41" s="191"/>
      <c r="E41" s="191"/>
      <c r="F41" s="191"/>
      <c r="G41" s="237"/>
    </row>
    <row r="42" spans="1:7" ht="12.75" customHeight="1" x14ac:dyDescent="0.2">
      <c r="A42" s="142" t="str">
        <f>"   "&amp;Labels!B222</f>
        <v xml:space="preserve">   Supplies</v>
      </c>
      <c r="B42" s="190"/>
      <c r="C42" s="190"/>
      <c r="D42" s="190"/>
      <c r="E42" s="190"/>
      <c r="F42" s="190"/>
      <c r="G42" s="235"/>
    </row>
    <row r="43" spans="1:7" ht="12.75" customHeight="1" x14ac:dyDescent="0.2">
      <c r="A43" s="144" t="str">
        <f>"      "&amp;Labels!B234</f>
        <v xml:space="preserve">      Job Level 1</v>
      </c>
      <c r="B43" s="137">
        <f>Inputs!D126*'Indirect Labor'!B29/12</f>
        <v>0</v>
      </c>
      <c r="C43" s="137">
        <f>Inputs!E126*'Indirect Labor'!C29/12</f>
        <v>0</v>
      </c>
      <c r="D43" s="137">
        <f>Inputs!F126*'Indirect Labor'!D29/12</f>
        <v>0</v>
      </c>
      <c r="E43" s="137">
        <f>Inputs!G126*'Indirect Labor'!E29/12</f>
        <v>0</v>
      </c>
      <c r="F43" s="137">
        <f>Inputs!H126*'Indirect Labor'!F29/12</f>
        <v>0</v>
      </c>
      <c r="G43" s="236">
        <f>Inputs!I126*'Indirect Labor'!G29/12</f>
        <v>0</v>
      </c>
    </row>
    <row r="44" spans="1:7" ht="12.75" customHeight="1" x14ac:dyDescent="0.2">
      <c r="A44" s="144" t="str">
        <f>"      "&amp;Labels!B235</f>
        <v xml:space="preserve">      Job Level 2</v>
      </c>
      <c r="B44" s="137">
        <f>Inputs!D126*'Indirect Labor'!B30/12</f>
        <v>0</v>
      </c>
      <c r="C44" s="137">
        <f>Inputs!E126*'Indirect Labor'!C30/12</f>
        <v>0</v>
      </c>
      <c r="D44" s="137">
        <f>Inputs!F126*'Indirect Labor'!D30/12</f>
        <v>0</v>
      </c>
      <c r="E44" s="137">
        <f>Inputs!G126*'Indirect Labor'!E30/12</f>
        <v>0</v>
      </c>
      <c r="F44" s="137">
        <f>Inputs!H126*'Indirect Labor'!F30/12</f>
        <v>0</v>
      </c>
      <c r="G44" s="236">
        <f>Inputs!I126*'Indirect Labor'!G30/12</f>
        <v>0</v>
      </c>
    </row>
    <row r="45" spans="1:7" ht="12.75" customHeight="1" x14ac:dyDescent="0.2">
      <c r="A45" s="142" t="str">
        <f>"      "&amp;Labels!C233</f>
        <v xml:space="preserve">      Total</v>
      </c>
      <c r="B45" s="190">
        <f t="shared" ref="B45:G45" si="10">SUM(B43:B44)</f>
        <v>0</v>
      </c>
      <c r="C45" s="190">
        <f t="shared" si="10"/>
        <v>0</v>
      </c>
      <c r="D45" s="190">
        <f t="shared" si="10"/>
        <v>0</v>
      </c>
      <c r="E45" s="190">
        <f t="shared" si="10"/>
        <v>0</v>
      </c>
      <c r="F45" s="190">
        <f t="shared" si="10"/>
        <v>0</v>
      </c>
      <c r="G45" s="235">
        <f t="shared" si="10"/>
        <v>0</v>
      </c>
    </row>
    <row r="46" spans="1:7" ht="12.75" customHeight="1" x14ac:dyDescent="0.2">
      <c r="A46" s="142" t="str">
        <f>"   "&amp;Labels!B223</f>
        <v xml:space="preserve">   Travel Entertainment</v>
      </c>
      <c r="B46" s="190"/>
      <c r="C46" s="190"/>
      <c r="D46" s="190"/>
      <c r="E46" s="190"/>
      <c r="F46" s="190"/>
      <c r="G46" s="235"/>
    </row>
    <row r="47" spans="1:7" ht="12.75" customHeight="1" x14ac:dyDescent="0.2">
      <c r="A47" s="144" t="str">
        <f>"      "&amp;Labels!B234</f>
        <v xml:space="preserve">      Job Level 1</v>
      </c>
      <c r="B47" s="137">
        <f>Inputs!D127*'Indirect Labor'!B29/12</f>
        <v>0</v>
      </c>
      <c r="C47" s="137">
        <f>Inputs!E127*'Indirect Labor'!C29/12</f>
        <v>0</v>
      </c>
      <c r="D47" s="137">
        <f>Inputs!F127*'Indirect Labor'!D29/12</f>
        <v>0</v>
      </c>
      <c r="E47" s="137">
        <f>Inputs!G127*'Indirect Labor'!E29/12</f>
        <v>0</v>
      </c>
      <c r="F47" s="137">
        <f>Inputs!H127*'Indirect Labor'!F29/12</f>
        <v>0</v>
      </c>
      <c r="G47" s="236">
        <f>Inputs!I127*'Indirect Labor'!G29/12</f>
        <v>0</v>
      </c>
    </row>
    <row r="48" spans="1:7" ht="12.75" customHeight="1" x14ac:dyDescent="0.2">
      <c r="A48" s="144" t="str">
        <f>"      "&amp;Labels!B235</f>
        <v xml:space="preserve">      Job Level 2</v>
      </c>
      <c r="B48" s="137">
        <f>Inputs!D127*'Indirect Labor'!B30/12</f>
        <v>0</v>
      </c>
      <c r="C48" s="137">
        <f>Inputs!E127*'Indirect Labor'!C30/12</f>
        <v>0</v>
      </c>
      <c r="D48" s="137">
        <f>Inputs!F127*'Indirect Labor'!D30/12</f>
        <v>0</v>
      </c>
      <c r="E48" s="137">
        <f>Inputs!G127*'Indirect Labor'!E30/12</f>
        <v>0</v>
      </c>
      <c r="F48" s="137">
        <f>Inputs!H127*'Indirect Labor'!F30/12</f>
        <v>0</v>
      </c>
      <c r="G48" s="236">
        <f>Inputs!I127*'Indirect Labor'!G30/12</f>
        <v>0</v>
      </c>
    </row>
    <row r="49" spans="1:7" ht="12.75" customHeight="1" x14ac:dyDescent="0.2">
      <c r="A49" s="142" t="str">
        <f>"      "&amp;Labels!C233</f>
        <v xml:space="preserve">      Total</v>
      </c>
      <c r="B49" s="190">
        <f t="shared" ref="B49:G49" si="11">SUM(B47:B48)</f>
        <v>0</v>
      </c>
      <c r="C49" s="190">
        <f t="shared" si="11"/>
        <v>0</v>
      </c>
      <c r="D49" s="190">
        <f t="shared" si="11"/>
        <v>0</v>
      </c>
      <c r="E49" s="190">
        <f t="shared" si="11"/>
        <v>0</v>
      </c>
      <c r="F49" s="190">
        <f t="shared" si="11"/>
        <v>0</v>
      </c>
      <c r="G49" s="235">
        <f t="shared" si="11"/>
        <v>0</v>
      </c>
    </row>
    <row r="50" spans="1:7" ht="12.75" customHeight="1" x14ac:dyDescent="0.2">
      <c r="A50" s="142" t="str">
        <f>"   "&amp;Labels!B224</f>
        <v xml:space="preserve">   Other</v>
      </c>
      <c r="B50" s="190"/>
      <c r="C50" s="190"/>
      <c r="D50" s="190"/>
      <c r="E50" s="190"/>
      <c r="F50" s="190"/>
      <c r="G50" s="235"/>
    </row>
    <row r="51" spans="1:7" ht="12.75" customHeight="1" x14ac:dyDescent="0.2">
      <c r="A51" s="144" t="str">
        <f>"      "&amp;Labels!B234</f>
        <v xml:space="preserve">      Job Level 1</v>
      </c>
      <c r="B51" s="137">
        <f>Inputs!D128*'Indirect Labor'!B29/12</f>
        <v>0</v>
      </c>
      <c r="C51" s="137">
        <f>Inputs!E128*'Indirect Labor'!C29/12</f>
        <v>0</v>
      </c>
      <c r="D51" s="137">
        <f>Inputs!F128*'Indirect Labor'!D29/12</f>
        <v>0</v>
      </c>
      <c r="E51" s="137">
        <f>Inputs!G128*'Indirect Labor'!E29/12</f>
        <v>0</v>
      </c>
      <c r="F51" s="137">
        <f>Inputs!H128*'Indirect Labor'!F29/12</f>
        <v>0</v>
      </c>
      <c r="G51" s="236">
        <f>Inputs!I128*'Indirect Labor'!G29/12</f>
        <v>0</v>
      </c>
    </row>
    <row r="52" spans="1:7" ht="12.75" customHeight="1" x14ac:dyDescent="0.2">
      <c r="A52" s="144" t="str">
        <f>"      "&amp;Labels!B235</f>
        <v xml:space="preserve">      Job Level 2</v>
      </c>
      <c r="B52" s="137">
        <f>Inputs!D128*'Indirect Labor'!B30/12</f>
        <v>0</v>
      </c>
      <c r="C52" s="137">
        <f>Inputs!E128*'Indirect Labor'!C30/12</f>
        <v>0</v>
      </c>
      <c r="D52" s="137">
        <f>Inputs!F128*'Indirect Labor'!D30/12</f>
        <v>0</v>
      </c>
      <c r="E52" s="137">
        <f>Inputs!G128*'Indirect Labor'!E30/12</f>
        <v>0</v>
      </c>
      <c r="F52" s="137">
        <f>Inputs!H128*'Indirect Labor'!F30/12</f>
        <v>0</v>
      </c>
      <c r="G52" s="236">
        <f>Inputs!I128*'Indirect Labor'!G30/12</f>
        <v>0</v>
      </c>
    </row>
    <row r="53" spans="1:7" ht="12.75" customHeight="1" x14ac:dyDescent="0.2">
      <c r="A53" s="142" t="str">
        <f>"      "&amp;Labels!C233</f>
        <v xml:space="preserve">      Total</v>
      </c>
      <c r="B53" s="190">
        <f t="shared" ref="B53:G53" si="12">SUM(B51:B52)</f>
        <v>0</v>
      </c>
      <c r="C53" s="190">
        <f t="shared" si="12"/>
        <v>0</v>
      </c>
      <c r="D53" s="190">
        <f t="shared" si="12"/>
        <v>0</v>
      </c>
      <c r="E53" s="190">
        <f t="shared" si="12"/>
        <v>0</v>
      </c>
      <c r="F53" s="190">
        <f t="shared" si="12"/>
        <v>0</v>
      </c>
      <c r="G53" s="235">
        <f t="shared" si="12"/>
        <v>0</v>
      </c>
    </row>
    <row r="54" spans="1:7" ht="12.75" customHeight="1" x14ac:dyDescent="0.2">
      <c r="A54" s="134" t="str">
        <f>"   "&amp;Labels!C221</f>
        <v xml:space="preserve">   Total</v>
      </c>
      <c r="B54" s="191">
        <f t="shared" ref="B54:G54" si="13">SUM(B45,B49,B53)</f>
        <v>0</v>
      </c>
      <c r="C54" s="191">
        <f t="shared" si="13"/>
        <v>0</v>
      </c>
      <c r="D54" s="191">
        <f t="shared" si="13"/>
        <v>0</v>
      </c>
      <c r="E54" s="191">
        <f t="shared" si="13"/>
        <v>0</v>
      </c>
      <c r="F54" s="191">
        <f t="shared" si="13"/>
        <v>0</v>
      </c>
      <c r="G54" s="237">
        <f t="shared" si="13"/>
        <v>0</v>
      </c>
    </row>
    <row r="55" spans="1:7" ht="12.75" customHeight="1" x14ac:dyDescent="0.2">
      <c r="A55" s="144" t="str">
        <f>"      "&amp;Labels!B234</f>
        <v xml:space="preserve">      Job Level 1</v>
      </c>
      <c r="B55" s="137">
        <f t="shared" ref="B55:G57" si="14">SUM(B43,B47,B51)</f>
        <v>0</v>
      </c>
      <c r="C55" s="137">
        <f t="shared" si="14"/>
        <v>0</v>
      </c>
      <c r="D55" s="137">
        <f t="shared" si="14"/>
        <v>0</v>
      </c>
      <c r="E55" s="137">
        <f t="shared" si="14"/>
        <v>0</v>
      </c>
      <c r="F55" s="137">
        <f t="shared" si="14"/>
        <v>0</v>
      </c>
      <c r="G55" s="236">
        <f t="shared" si="14"/>
        <v>0</v>
      </c>
    </row>
    <row r="56" spans="1:7" ht="12.75" customHeight="1" x14ac:dyDescent="0.2">
      <c r="A56" s="144" t="str">
        <f>"      "&amp;Labels!B235</f>
        <v xml:space="preserve">      Job Level 2</v>
      </c>
      <c r="B56" s="137">
        <f t="shared" si="14"/>
        <v>0</v>
      </c>
      <c r="C56" s="137">
        <f t="shared" si="14"/>
        <v>0</v>
      </c>
      <c r="D56" s="137">
        <f t="shared" si="14"/>
        <v>0</v>
      </c>
      <c r="E56" s="137">
        <f t="shared" si="14"/>
        <v>0</v>
      </c>
      <c r="F56" s="137">
        <f t="shared" si="14"/>
        <v>0</v>
      </c>
      <c r="G56" s="236">
        <f t="shared" si="14"/>
        <v>0</v>
      </c>
    </row>
    <row r="57" spans="1:7" ht="12.75" customHeight="1" x14ac:dyDescent="0.2">
      <c r="A57" s="142" t="str">
        <f>"      "&amp;Labels!C233</f>
        <v xml:space="preserve">      Total</v>
      </c>
      <c r="B57" s="190">
        <f t="shared" si="14"/>
        <v>0</v>
      </c>
      <c r="C57" s="190">
        <f t="shared" si="14"/>
        <v>0</v>
      </c>
      <c r="D57" s="190">
        <f t="shared" si="14"/>
        <v>0</v>
      </c>
      <c r="E57" s="190">
        <f t="shared" si="14"/>
        <v>0</v>
      </c>
      <c r="F57" s="190">
        <f t="shared" si="14"/>
        <v>0</v>
      </c>
      <c r="G57" s="235">
        <f t="shared" si="14"/>
        <v>0</v>
      </c>
    </row>
    <row r="58" spans="1:7" ht="12.75" customHeight="1" x14ac:dyDescent="0.2">
      <c r="A58" s="91" t="str">
        <f>Labels!C212</f>
        <v>Total</v>
      </c>
      <c r="B58" s="147">
        <f t="shared" ref="B58:G58" si="15">SUM(B37,B54)</f>
        <v>0</v>
      </c>
      <c r="C58" s="147">
        <f t="shared" si="15"/>
        <v>0</v>
      </c>
      <c r="D58" s="147">
        <f t="shared" si="15"/>
        <v>0</v>
      </c>
      <c r="E58" s="147">
        <f t="shared" si="15"/>
        <v>0</v>
      </c>
      <c r="F58" s="147">
        <f t="shared" si="15"/>
        <v>0</v>
      </c>
      <c r="G58" s="212">
        <f t="shared" si="15"/>
        <v>0</v>
      </c>
    </row>
    <row r="59" spans="1:7" ht="12.75" customHeight="1" x14ac:dyDescent="0.2">
      <c r="A59" s="142" t="str">
        <f>"   "&amp;Labels!B222</f>
        <v xml:space="preserve">   Supplies</v>
      </c>
      <c r="B59" s="190"/>
      <c r="C59" s="190"/>
      <c r="D59" s="190"/>
      <c r="E59" s="190"/>
      <c r="F59" s="190"/>
      <c r="G59" s="235"/>
    </row>
    <row r="60" spans="1:7" ht="12.75" customHeight="1" x14ac:dyDescent="0.2">
      <c r="A60" s="144" t="str">
        <f>"      "&amp;Labels!B234</f>
        <v xml:space="preserve">      Job Level 1</v>
      </c>
      <c r="B60" s="137">
        <f t="shared" ref="B60:G62" si="16">SUM(B26,B43)</f>
        <v>0</v>
      </c>
      <c r="C60" s="137">
        <f t="shared" si="16"/>
        <v>0</v>
      </c>
      <c r="D60" s="137">
        <f t="shared" si="16"/>
        <v>0</v>
      </c>
      <c r="E60" s="137">
        <f t="shared" si="16"/>
        <v>0</v>
      </c>
      <c r="F60" s="137">
        <f t="shared" si="16"/>
        <v>0</v>
      </c>
      <c r="G60" s="236">
        <f t="shared" si="16"/>
        <v>0</v>
      </c>
    </row>
    <row r="61" spans="1:7" ht="12.75" customHeight="1" x14ac:dyDescent="0.2">
      <c r="A61" s="144" t="str">
        <f>"      "&amp;Labels!B235</f>
        <v xml:space="preserve">      Job Level 2</v>
      </c>
      <c r="B61" s="137">
        <f t="shared" si="16"/>
        <v>0</v>
      </c>
      <c r="C61" s="137">
        <f t="shared" si="16"/>
        <v>0</v>
      </c>
      <c r="D61" s="137">
        <f t="shared" si="16"/>
        <v>0</v>
      </c>
      <c r="E61" s="137">
        <f t="shared" si="16"/>
        <v>0</v>
      </c>
      <c r="F61" s="137">
        <f t="shared" si="16"/>
        <v>0</v>
      </c>
      <c r="G61" s="236">
        <f t="shared" si="16"/>
        <v>0</v>
      </c>
    </row>
    <row r="62" spans="1:7" ht="12.75" customHeight="1" x14ac:dyDescent="0.2">
      <c r="A62" s="142" t="str">
        <f>"      "&amp;Labels!C233</f>
        <v xml:space="preserve">      Total</v>
      </c>
      <c r="B62" s="190">
        <f t="shared" si="16"/>
        <v>0</v>
      </c>
      <c r="C62" s="190">
        <f t="shared" si="16"/>
        <v>0</v>
      </c>
      <c r="D62" s="190">
        <f t="shared" si="16"/>
        <v>0</v>
      </c>
      <c r="E62" s="190">
        <f t="shared" si="16"/>
        <v>0</v>
      </c>
      <c r="F62" s="190">
        <f t="shared" si="16"/>
        <v>0</v>
      </c>
      <c r="G62" s="235">
        <f t="shared" si="16"/>
        <v>0</v>
      </c>
    </row>
    <row r="63" spans="1:7" ht="12.75" customHeight="1" x14ac:dyDescent="0.2">
      <c r="A63" s="142" t="str">
        <f>"   "&amp;Labels!B223</f>
        <v xml:space="preserve">   Travel Entertainment</v>
      </c>
      <c r="B63" s="190"/>
      <c r="C63" s="190"/>
      <c r="D63" s="190"/>
      <c r="E63" s="190"/>
      <c r="F63" s="190"/>
      <c r="G63" s="235"/>
    </row>
    <row r="64" spans="1:7" ht="12.75" customHeight="1" x14ac:dyDescent="0.2">
      <c r="A64" s="144" t="str">
        <f>"      "&amp;Labels!B234</f>
        <v xml:space="preserve">      Job Level 1</v>
      </c>
      <c r="B64" s="137">
        <f t="shared" ref="B64:G66" si="17">SUM(B30,B47)</f>
        <v>0</v>
      </c>
      <c r="C64" s="137">
        <f t="shared" si="17"/>
        <v>0</v>
      </c>
      <c r="D64" s="137">
        <f t="shared" si="17"/>
        <v>0</v>
      </c>
      <c r="E64" s="137">
        <f t="shared" si="17"/>
        <v>0</v>
      </c>
      <c r="F64" s="137">
        <f t="shared" si="17"/>
        <v>0</v>
      </c>
      <c r="G64" s="236">
        <f t="shared" si="17"/>
        <v>0</v>
      </c>
    </row>
    <row r="65" spans="1:7" ht="12.75" customHeight="1" x14ac:dyDescent="0.2">
      <c r="A65" s="144" t="str">
        <f>"      "&amp;Labels!B235</f>
        <v xml:space="preserve">      Job Level 2</v>
      </c>
      <c r="B65" s="137">
        <f t="shared" si="17"/>
        <v>0</v>
      </c>
      <c r="C65" s="137">
        <f t="shared" si="17"/>
        <v>0</v>
      </c>
      <c r="D65" s="137">
        <f t="shared" si="17"/>
        <v>0</v>
      </c>
      <c r="E65" s="137">
        <f t="shared" si="17"/>
        <v>0</v>
      </c>
      <c r="F65" s="137">
        <f t="shared" si="17"/>
        <v>0</v>
      </c>
      <c r="G65" s="236">
        <f t="shared" si="17"/>
        <v>0</v>
      </c>
    </row>
    <row r="66" spans="1:7" ht="12.75" customHeight="1" x14ac:dyDescent="0.2">
      <c r="A66" s="142" t="str">
        <f>"      "&amp;Labels!C233</f>
        <v xml:space="preserve">      Total</v>
      </c>
      <c r="B66" s="190">
        <f t="shared" si="17"/>
        <v>0</v>
      </c>
      <c r="C66" s="190">
        <f t="shared" si="17"/>
        <v>0</v>
      </c>
      <c r="D66" s="190">
        <f t="shared" si="17"/>
        <v>0</v>
      </c>
      <c r="E66" s="190">
        <f t="shared" si="17"/>
        <v>0</v>
      </c>
      <c r="F66" s="190">
        <f t="shared" si="17"/>
        <v>0</v>
      </c>
      <c r="G66" s="235">
        <f t="shared" si="17"/>
        <v>0</v>
      </c>
    </row>
    <row r="67" spans="1:7" ht="12.75" customHeight="1" x14ac:dyDescent="0.2">
      <c r="A67" s="142" t="str">
        <f>"   "&amp;Labels!B224</f>
        <v xml:space="preserve">   Other</v>
      </c>
      <c r="B67" s="190"/>
      <c r="C67" s="190"/>
      <c r="D67" s="190"/>
      <c r="E67" s="190"/>
      <c r="F67" s="190"/>
      <c r="G67" s="235"/>
    </row>
    <row r="68" spans="1:7" ht="12.75" customHeight="1" x14ac:dyDescent="0.2">
      <c r="A68" s="144" t="str">
        <f>"      "&amp;Labels!B234</f>
        <v xml:space="preserve">      Job Level 1</v>
      </c>
      <c r="B68" s="137">
        <f t="shared" ref="B68:G73" si="18">SUM(B34,B51)</f>
        <v>0</v>
      </c>
      <c r="C68" s="137">
        <f t="shared" si="18"/>
        <v>0</v>
      </c>
      <c r="D68" s="137">
        <f t="shared" si="18"/>
        <v>0</v>
      </c>
      <c r="E68" s="137">
        <f t="shared" si="18"/>
        <v>0</v>
      </c>
      <c r="F68" s="137">
        <f t="shared" si="18"/>
        <v>0</v>
      </c>
      <c r="G68" s="236">
        <f t="shared" si="18"/>
        <v>0</v>
      </c>
    </row>
    <row r="69" spans="1:7" ht="12.75" customHeight="1" x14ac:dyDescent="0.2">
      <c r="A69" s="144" t="str">
        <f>"      "&amp;Labels!B235</f>
        <v xml:space="preserve">      Job Level 2</v>
      </c>
      <c r="B69" s="137">
        <f t="shared" si="18"/>
        <v>0</v>
      </c>
      <c r="C69" s="137">
        <f t="shared" si="18"/>
        <v>0</v>
      </c>
      <c r="D69" s="137">
        <f t="shared" si="18"/>
        <v>0</v>
      </c>
      <c r="E69" s="137">
        <f t="shared" si="18"/>
        <v>0</v>
      </c>
      <c r="F69" s="137">
        <f t="shared" si="18"/>
        <v>0</v>
      </c>
      <c r="G69" s="236">
        <f t="shared" si="18"/>
        <v>0</v>
      </c>
    </row>
    <row r="70" spans="1:7" ht="12.75" customHeight="1" x14ac:dyDescent="0.2">
      <c r="A70" s="142" t="str">
        <f>"      "&amp;Labels!C233</f>
        <v xml:space="preserve">      Total</v>
      </c>
      <c r="B70" s="190">
        <f t="shared" si="18"/>
        <v>0</v>
      </c>
      <c r="C70" s="190">
        <f t="shared" si="18"/>
        <v>0</v>
      </c>
      <c r="D70" s="190">
        <f t="shared" si="18"/>
        <v>0</v>
      </c>
      <c r="E70" s="190">
        <f t="shared" si="18"/>
        <v>0</v>
      </c>
      <c r="F70" s="190">
        <f t="shared" si="18"/>
        <v>0</v>
      </c>
      <c r="G70" s="235">
        <f t="shared" si="18"/>
        <v>0</v>
      </c>
    </row>
    <row r="71" spans="1:7" ht="12.75" customHeight="1" x14ac:dyDescent="0.2">
      <c r="A71" s="134" t="str">
        <f>"   "&amp;Labels!C221</f>
        <v xml:space="preserve">   Total</v>
      </c>
      <c r="B71" s="191">
        <f t="shared" si="18"/>
        <v>0</v>
      </c>
      <c r="C71" s="191">
        <f t="shared" si="18"/>
        <v>0</v>
      </c>
      <c r="D71" s="191">
        <f t="shared" si="18"/>
        <v>0</v>
      </c>
      <c r="E71" s="191">
        <f t="shared" si="18"/>
        <v>0</v>
      </c>
      <c r="F71" s="191">
        <f t="shared" si="18"/>
        <v>0</v>
      </c>
      <c r="G71" s="237">
        <f t="shared" si="18"/>
        <v>0</v>
      </c>
    </row>
    <row r="72" spans="1:7" ht="12.75" customHeight="1" x14ac:dyDescent="0.2">
      <c r="A72" s="144" t="str">
        <f>"      "&amp;Labels!B234</f>
        <v xml:space="preserve">      Job Level 1</v>
      </c>
      <c r="B72" s="137">
        <f t="shared" si="18"/>
        <v>0</v>
      </c>
      <c r="C72" s="137">
        <f t="shared" si="18"/>
        <v>0</v>
      </c>
      <c r="D72" s="137">
        <f t="shared" si="18"/>
        <v>0</v>
      </c>
      <c r="E72" s="137">
        <f t="shared" si="18"/>
        <v>0</v>
      </c>
      <c r="F72" s="137">
        <f t="shared" si="18"/>
        <v>0</v>
      </c>
      <c r="G72" s="236">
        <f t="shared" si="18"/>
        <v>0</v>
      </c>
    </row>
    <row r="73" spans="1:7" ht="12.75" customHeight="1" x14ac:dyDescent="0.2">
      <c r="A73" s="144" t="str">
        <f>"      "&amp;Labels!B235</f>
        <v xml:space="preserve">      Job Level 2</v>
      </c>
      <c r="B73" s="137">
        <f t="shared" si="18"/>
        <v>0</v>
      </c>
      <c r="C73" s="137">
        <f t="shared" si="18"/>
        <v>0</v>
      </c>
      <c r="D73" s="137">
        <f t="shared" si="18"/>
        <v>0</v>
      </c>
      <c r="E73" s="137">
        <f t="shared" si="18"/>
        <v>0</v>
      </c>
      <c r="F73" s="137">
        <f t="shared" si="18"/>
        <v>0</v>
      </c>
      <c r="G73" s="236">
        <f t="shared" si="18"/>
        <v>0</v>
      </c>
    </row>
    <row r="74" spans="1:7" ht="12.75" customHeight="1" x14ac:dyDescent="0.2">
      <c r="A74" s="163" t="str">
        <f>"      "&amp;Labels!C233</f>
        <v xml:space="preserve">      Total</v>
      </c>
      <c r="B74" s="204">
        <f t="shared" ref="B74:G74" si="19">SUM(B37,B54)</f>
        <v>0</v>
      </c>
      <c r="C74" s="204">
        <f t="shared" si="19"/>
        <v>0</v>
      </c>
      <c r="D74" s="204">
        <f t="shared" si="19"/>
        <v>0</v>
      </c>
      <c r="E74" s="204">
        <f t="shared" si="19"/>
        <v>0</v>
      </c>
      <c r="F74" s="204">
        <f t="shared" si="19"/>
        <v>0</v>
      </c>
      <c r="G74" s="238">
        <f t="shared" si="19"/>
        <v>0</v>
      </c>
    </row>
    <row r="75" spans="1:7" ht="12.75" customHeight="1" x14ac:dyDescent="0.2">
      <c r="A75" s="1" t="str">
        <f>"Facil_Util_Exp_1"</f>
        <v>Facil_Util_Exp_1</v>
      </c>
    </row>
    <row r="76" spans="1:7" ht="12.75" customHeight="1" x14ac:dyDescent="0.2">
      <c r="B76" s="10" t="str">
        <f>'(FnCalls 1)'!F41</f>
        <v>MMM 2011</v>
      </c>
      <c r="C76" s="11" t="str">
        <f>'(FnCalls 1)'!F42</f>
        <v>MMM 2011</v>
      </c>
      <c r="D76" s="11" t="str">
        <f>'(FnCalls 1)'!F43</f>
        <v>MMM 2011</v>
      </c>
      <c r="E76" s="11" t="str">
        <f>'(FnCalls 1)'!F44</f>
        <v>MMM 2011</v>
      </c>
      <c r="F76" s="11" t="str">
        <f>'(FnCalls 1)'!F45</f>
        <v>MMM 2011</v>
      </c>
      <c r="G76" s="12" t="str">
        <f>'(FnCalls 1)'!F46</f>
        <v>MMM 2011</v>
      </c>
    </row>
    <row r="77" spans="1:7" ht="12.75" customHeight="1" x14ac:dyDescent="0.2">
      <c r="A77" s="128" t="str">
        <f>Labels!B213</f>
        <v>Sales</v>
      </c>
      <c r="B77" s="188"/>
      <c r="C77" s="188"/>
      <c r="D77" s="188"/>
      <c r="E77" s="188"/>
      <c r="F77" s="188"/>
      <c r="G77" s="234"/>
    </row>
    <row r="78" spans="1:7" ht="12.75" customHeight="1" x14ac:dyDescent="0.2">
      <c r="A78" s="142" t="str">
        <f>"   "&amp;Labels!B234</f>
        <v xml:space="preserve">   Job Level 1</v>
      </c>
      <c r="B78" s="190">
        <f>Inputs!D108*'Indirect Labor'!B25*Inputs!D109/12</f>
        <v>0</v>
      </c>
      <c r="C78" s="190">
        <f>Inputs!E108*'Indirect Labor'!C25*Inputs!E109/12</f>
        <v>0</v>
      </c>
      <c r="D78" s="190">
        <f>Inputs!F108*'Indirect Labor'!D25*Inputs!F109/12</f>
        <v>0</v>
      </c>
      <c r="E78" s="190">
        <f>Inputs!G108*'Indirect Labor'!E25*Inputs!G109/12</f>
        <v>0</v>
      </c>
      <c r="F78" s="190">
        <f>Inputs!H108*'Indirect Labor'!F25*Inputs!H109/12</f>
        <v>0</v>
      </c>
      <c r="G78" s="235">
        <f>Inputs!I108*'Indirect Labor'!G25*Inputs!I109/12</f>
        <v>0</v>
      </c>
    </row>
    <row r="79" spans="1:7" ht="12.75" customHeight="1" x14ac:dyDescent="0.2">
      <c r="A79" s="142" t="str">
        <f>"   "&amp;Labels!B235</f>
        <v xml:space="preserve">   Job Level 2</v>
      </c>
      <c r="B79" s="190">
        <f>Inputs!D108*'Indirect Labor'!B26*Inputs!D109/12</f>
        <v>0</v>
      </c>
      <c r="C79" s="190">
        <f>Inputs!E108*'Indirect Labor'!C26*Inputs!E109/12</f>
        <v>0</v>
      </c>
      <c r="D79" s="190">
        <f>Inputs!F108*'Indirect Labor'!D26*Inputs!F109/12</f>
        <v>0</v>
      </c>
      <c r="E79" s="190">
        <f>Inputs!G108*'Indirect Labor'!E26*Inputs!G109/12</f>
        <v>0</v>
      </c>
      <c r="F79" s="190">
        <f>Inputs!H108*'Indirect Labor'!F26*Inputs!H109/12</f>
        <v>0</v>
      </c>
      <c r="G79" s="235">
        <f>Inputs!I108*'Indirect Labor'!G26*Inputs!I109/12</f>
        <v>0</v>
      </c>
    </row>
    <row r="80" spans="1:7" ht="12.75" customHeight="1" x14ac:dyDescent="0.2">
      <c r="A80" s="134" t="str">
        <f>"   "&amp;Labels!C233</f>
        <v xml:space="preserve">   Total</v>
      </c>
      <c r="B80" s="191">
        <f t="shared" ref="B80:G80" si="20">SUM(B78:B79)</f>
        <v>0</v>
      </c>
      <c r="C80" s="191">
        <f t="shared" si="20"/>
        <v>0</v>
      </c>
      <c r="D80" s="191">
        <f t="shared" si="20"/>
        <v>0</v>
      </c>
      <c r="E80" s="191">
        <f t="shared" si="20"/>
        <v>0</v>
      </c>
      <c r="F80" s="191">
        <f t="shared" si="20"/>
        <v>0</v>
      </c>
      <c r="G80" s="237">
        <f t="shared" si="20"/>
        <v>0</v>
      </c>
    </row>
    <row r="81" spans="1:7" ht="12.75" customHeight="1" x14ac:dyDescent="0.2">
      <c r="A81" s="134" t="str">
        <f>Labels!B214</f>
        <v>Marketing</v>
      </c>
      <c r="B81" s="191"/>
      <c r="C81" s="191"/>
      <c r="D81" s="191"/>
      <c r="E81" s="191"/>
      <c r="F81" s="191"/>
      <c r="G81" s="237"/>
    </row>
    <row r="82" spans="1:7" ht="12.75" customHeight="1" x14ac:dyDescent="0.2">
      <c r="A82" s="142" t="str">
        <f>"   "&amp;Labels!B234</f>
        <v xml:space="preserve">   Job Level 1</v>
      </c>
      <c r="B82" s="190">
        <f>Inputs!D108*'Indirect Labor'!B29*Inputs!D109/12</f>
        <v>0</v>
      </c>
      <c r="C82" s="190">
        <f>Inputs!E108*'Indirect Labor'!C29*Inputs!E109/12</f>
        <v>0</v>
      </c>
      <c r="D82" s="190">
        <f>Inputs!F108*'Indirect Labor'!D29*Inputs!F109/12</f>
        <v>0</v>
      </c>
      <c r="E82" s="190">
        <f>Inputs!G108*'Indirect Labor'!E29*Inputs!G109/12</f>
        <v>0</v>
      </c>
      <c r="F82" s="190">
        <f>Inputs!H108*'Indirect Labor'!F29*Inputs!H109/12</f>
        <v>0</v>
      </c>
      <c r="G82" s="235">
        <f>Inputs!I108*'Indirect Labor'!G29*Inputs!I109/12</f>
        <v>0</v>
      </c>
    </row>
    <row r="83" spans="1:7" ht="12.75" customHeight="1" x14ac:dyDescent="0.2">
      <c r="A83" s="142" t="str">
        <f>"   "&amp;Labels!B235</f>
        <v xml:space="preserve">   Job Level 2</v>
      </c>
      <c r="B83" s="190">
        <f>Inputs!D108*'Indirect Labor'!B30*Inputs!D109/12</f>
        <v>0</v>
      </c>
      <c r="C83" s="190">
        <f>Inputs!E108*'Indirect Labor'!C30*Inputs!E109/12</f>
        <v>0</v>
      </c>
      <c r="D83" s="190">
        <f>Inputs!F108*'Indirect Labor'!D30*Inputs!F109/12</f>
        <v>0</v>
      </c>
      <c r="E83" s="190">
        <f>Inputs!G108*'Indirect Labor'!E30*Inputs!G109/12</f>
        <v>0</v>
      </c>
      <c r="F83" s="190">
        <f>Inputs!H108*'Indirect Labor'!F30*Inputs!H109/12</f>
        <v>0</v>
      </c>
      <c r="G83" s="235">
        <f>Inputs!I108*'Indirect Labor'!G30*Inputs!I109/12</f>
        <v>0</v>
      </c>
    </row>
    <row r="84" spans="1:7" ht="12.75" customHeight="1" x14ac:dyDescent="0.2">
      <c r="A84" s="134" t="str">
        <f>"   "&amp;Labels!C233</f>
        <v xml:space="preserve">   Total</v>
      </c>
      <c r="B84" s="191">
        <f t="shared" ref="B84:G84" si="21">SUM(B82:B83)</f>
        <v>0</v>
      </c>
      <c r="C84" s="191">
        <f t="shared" si="21"/>
        <v>0</v>
      </c>
      <c r="D84" s="191">
        <f t="shared" si="21"/>
        <v>0</v>
      </c>
      <c r="E84" s="191">
        <f t="shared" si="21"/>
        <v>0</v>
      </c>
      <c r="F84" s="191">
        <f t="shared" si="21"/>
        <v>0</v>
      </c>
      <c r="G84" s="237">
        <f t="shared" si="21"/>
        <v>0</v>
      </c>
    </row>
    <row r="85" spans="1:7" ht="12.75" customHeight="1" x14ac:dyDescent="0.2">
      <c r="A85" s="91" t="str">
        <f>Labels!C212</f>
        <v>Total</v>
      </c>
      <c r="B85" s="147">
        <f t="shared" ref="B85:G85" si="22">SUM(B80,B84)</f>
        <v>0</v>
      </c>
      <c r="C85" s="147">
        <f t="shared" si="22"/>
        <v>0</v>
      </c>
      <c r="D85" s="147">
        <f t="shared" si="22"/>
        <v>0</v>
      </c>
      <c r="E85" s="147">
        <f t="shared" si="22"/>
        <v>0</v>
      </c>
      <c r="F85" s="147">
        <f t="shared" si="22"/>
        <v>0</v>
      </c>
      <c r="G85" s="212">
        <f t="shared" si="22"/>
        <v>0</v>
      </c>
    </row>
    <row r="86" spans="1:7" ht="12.75" customHeight="1" x14ac:dyDescent="0.2">
      <c r="A86" s="142" t="str">
        <f>"   "&amp;Labels!B234</f>
        <v xml:space="preserve">   Job Level 1</v>
      </c>
      <c r="B86" s="190">
        <f t="shared" ref="B86:G88" si="23">SUM(B78,B82)</f>
        <v>0</v>
      </c>
      <c r="C86" s="190">
        <f t="shared" si="23"/>
        <v>0</v>
      </c>
      <c r="D86" s="190">
        <f t="shared" si="23"/>
        <v>0</v>
      </c>
      <c r="E86" s="190">
        <f t="shared" si="23"/>
        <v>0</v>
      </c>
      <c r="F86" s="190">
        <f t="shared" si="23"/>
        <v>0</v>
      </c>
      <c r="G86" s="235">
        <f t="shared" si="23"/>
        <v>0</v>
      </c>
    </row>
    <row r="87" spans="1:7" ht="12.75" customHeight="1" x14ac:dyDescent="0.2">
      <c r="A87" s="142" t="str">
        <f>"   "&amp;Labels!B235</f>
        <v xml:space="preserve">   Job Level 2</v>
      </c>
      <c r="B87" s="190">
        <f t="shared" si="23"/>
        <v>0</v>
      </c>
      <c r="C87" s="190">
        <f t="shared" si="23"/>
        <v>0</v>
      </c>
      <c r="D87" s="190">
        <f t="shared" si="23"/>
        <v>0</v>
      </c>
      <c r="E87" s="190">
        <f t="shared" si="23"/>
        <v>0</v>
      </c>
      <c r="F87" s="190">
        <f t="shared" si="23"/>
        <v>0</v>
      </c>
      <c r="G87" s="235">
        <f t="shared" si="23"/>
        <v>0</v>
      </c>
    </row>
    <row r="88" spans="1:7" ht="12.75" customHeight="1" x14ac:dyDescent="0.2">
      <c r="A88" s="131" t="str">
        <f>"   "&amp;Labels!C233</f>
        <v xml:space="preserve">   Total</v>
      </c>
      <c r="B88" s="239">
        <f t="shared" si="23"/>
        <v>0</v>
      </c>
      <c r="C88" s="239">
        <f t="shared" si="23"/>
        <v>0</v>
      </c>
      <c r="D88" s="239">
        <f t="shared" si="23"/>
        <v>0</v>
      </c>
      <c r="E88" s="239">
        <f t="shared" si="23"/>
        <v>0</v>
      </c>
      <c r="F88" s="239">
        <f t="shared" si="23"/>
        <v>0</v>
      </c>
      <c r="G88" s="240">
        <f t="shared" si="23"/>
        <v>0</v>
      </c>
    </row>
    <row r="89" spans="1:7" ht="12.75" customHeight="1" x14ac:dyDescent="0.2">
      <c r="A89" s="1" t="str">
        <f>"Facil_Util_Exp_2"</f>
        <v>Facil_Util_Exp_2</v>
      </c>
    </row>
    <row r="90" spans="1:7" ht="12.75" customHeight="1" x14ac:dyDescent="0.2">
      <c r="B90" s="10" t="str">
        <f>'(FnCalls 1)'!F41</f>
        <v>MMM 2011</v>
      </c>
      <c r="C90" s="11" t="str">
        <f>'(FnCalls 1)'!F42</f>
        <v>MMM 2011</v>
      </c>
      <c r="D90" s="11" t="str">
        <f>'(FnCalls 1)'!F43</f>
        <v>MMM 2011</v>
      </c>
      <c r="E90" s="11" t="str">
        <f>'(FnCalls 1)'!F44</f>
        <v>MMM 2011</v>
      </c>
      <c r="F90" s="11" t="str">
        <f>'(FnCalls 1)'!F45</f>
        <v>MMM 2011</v>
      </c>
      <c r="G90" s="12" t="str">
        <f>'(FnCalls 1)'!F46</f>
        <v>MMM 2011</v>
      </c>
    </row>
    <row r="91" spans="1:7" ht="12.75" customHeight="1" x14ac:dyDescent="0.2">
      <c r="A91" s="128" t="str">
        <f>Labels!B213</f>
        <v>Sales</v>
      </c>
      <c r="B91" s="188"/>
      <c r="C91" s="188"/>
      <c r="D91" s="188"/>
      <c r="E91" s="188"/>
      <c r="F91" s="188"/>
      <c r="G91" s="234"/>
    </row>
    <row r="92" spans="1:7" ht="12.75" customHeight="1" x14ac:dyDescent="0.2">
      <c r="A92" s="142" t="str">
        <f>"   "&amp;Labels!B234</f>
        <v xml:space="preserve">   Job Level 1</v>
      </c>
      <c r="B92" s="190">
        <f>Inputs!D108*'Indirect Labor'!B25*Inputs!D110/12</f>
        <v>0</v>
      </c>
      <c r="C92" s="190">
        <f>Inputs!E108*'Indirect Labor'!C25*Inputs!E110/12</f>
        <v>0</v>
      </c>
      <c r="D92" s="190">
        <f>Inputs!F108*'Indirect Labor'!D25*Inputs!F110/12</f>
        <v>0</v>
      </c>
      <c r="E92" s="190">
        <f>Inputs!G108*'Indirect Labor'!E25*Inputs!G110/12</f>
        <v>0</v>
      </c>
      <c r="F92" s="190">
        <f>Inputs!H108*'Indirect Labor'!F25*Inputs!H110/12</f>
        <v>0</v>
      </c>
      <c r="G92" s="235">
        <f>Inputs!I108*'Indirect Labor'!G25*Inputs!I110/12</f>
        <v>0</v>
      </c>
    </row>
    <row r="93" spans="1:7" ht="12.75" customHeight="1" x14ac:dyDescent="0.2">
      <c r="A93" s="142" t="str">
        <f>"   "&amp;Labels!B235</f>
        <v xml:space="preserve">   Job Level 2</v>
      </c>
      <c r="B93" s="190">
        <f>Inputs!D108*'Indirect Labor'!B26*Inputs!D110/12</f>
        <v>0</v>
      </c>
      <c r="C93" s="190">
        <f>Inputs!E108*'Indirect Labor'!C26*Inputs!E110/12</f>
        <v>0</v>
      </c>
      <c r="D93" s="190">
        <f>Inputs!F108*'Indirect Labor'!D26*Inputs!F110/12</f>
        <v>0</v>
      </c>
      <c r="E93" s="190">
        <f>Inputs!G108*'Indirect Labor'!E26*Inputs!G110/12</f>
        <v>0</v>
      </c>
      <c r="F93" s="190">
        <f>Inputs!H108*'Indirect Labor'!F26*Inputs!H110/12</f>
        <v>0</v>
      </c>
      <c r="G93" s="235">
        <f>Inputs!I108*'Indirect Labor'!G26*Inputs!I110/12</f>
        <v>0</v>
      </c>
    </row>
    <row r="94" spans="1:7" ht="12.75" customHeight="1" x14ac:dyDescent="0.2">
      <c r="A94" s="134" t="str">
        <f>"   "&amp;Labels!C233</f>
        <v xml:space="preserve">   Total</v>
      </c>
      <c r="B94" s="191">
        <f t="shared" ref="B94:G94" si="24">SUM(B92:B93)</f>
        <v>0</v>
      </c>
      <c r="C94" s="191">
        <f t="shared" si="24"/>
        <v>0</v>
      </c>
      <c r="D94" s="191">
        <f t="shared" si="24"/>
        <v>0</v>
      </c>
      <c r="E94" s="191">
        <f t="shared" si="24"/>
        <v>0</v>
      </c>
      <c r="F94" s="191">
        <f t="shared" si="24"/>
        <v>0</v>
      </c>
      <c r="G94" s="237">
        <f t="shared" si="24"/>
        <v>0</v>
      </c>
    </row>
    <row r="95" spans="1:7" ht="12.75" customHeight="1" x14ac:dyDescent="0.2">
      <c r="A95" s="134" t="str">
        <f>Labels!B214</f>
        <v>Marketing</v>
      </c>
      <c r="B95" s="191"/>
      <c r="C95" s="191"/>
      <c r="D95" s="191"/>
      <c r="E95" s="191"/>
      <c r="F95" s="191"/>
      <c r="G95" s="237"/>
    </row>
    <row r="96" spans="1:7" ht="12.75" customHeight="1" x14ac:dyDescent="0.2">
      <c r="A96" s="142" t="str">
        <f>"   "&amp;Labels!B234</f>
        <v xml:space="preserve">   Job Level 1</v>
      </c>
      <c r="B96" s="190">
        <f>Inputs!D108*'Indirect Labor'!B29*Inputs!D110/12</f>
        <v>0</v>
      </c>
      <c r="C96" s="190">
        <f>Inputs!E108*'Indirect Labor'!C29*Inputs!E110/12</f>
        <v>0</v>
      </c>
      <c r="D96" s="190">
        <f>Inputs!F108*'Indirect Labor'!D29*Inputs!F110/12</f>
        <v>0</v>
      </c>
      <c r="E96" s="190">
        <f>Inputs!G108*'Indirect Labor'!E29*Inputs!G110/12</f>
        <v>0</v>
      </c>
      <c r="F96" s="190">
        <f>Inputs!H108*'Indirect Labor'!F29*Inputs!H110/12</f>
        <v>0</v>
      </c>
      <c r="G96" s="235">
        <f>Inputs!I108*'Indirect Labor'!G29*Inputs!I110/12</f>
        <v>0</v>
      </c>
    </row>
    <row r="97" spans="1:7" ht="12.75" customHeight="1" x14ac:dyDescent="0.2">
      <c r="A97" s="142" t="str">
        <f>"   "&amp;Labels!B235</f>
        <v xml:space="preserve">   Job Level 2</v>
      </c>
      <c r="B97" s="190">
        <f>Inputs!D108*'Indirect Labor'!B30*Inputs!D110/12</f>
        <v>0</v>
      </c>
      <c r="C97" s="190">
        <f>Inputs!E108*'Indirect Labor'!C30*Inputs!E110/12</f>
        <v>0</v>
      </c>
      <c r="D97" s="190">
        <f>Inputs!F108*'Indirect Labor'!D30*Inputs!F110/12</f>
        <v>0</v>
      </c>
      <c r="E97" s="190">
        <f>Inputs!G108*'Indirect Labor'!E30*Inputs!G110/12</f>
        <v>0</v>
      </c>
      <c r="F97" s="190">
        <f>Inputs!H108*'Indirect Labor'!F30*Inputs!H110/12</f>
        <v>0</v>
      </c>
      <c r="G97" s="235">
        <f>Inputs!I108*'Indirect Labor'!G30*Inputs!I110/12</f>
        <v>0</v>
      </c>
    </row>
    <row r="98" spans="1:7" ht="12.75" customHeight="1" x14ac:dyDescent="0.2">
      <c r="A98" s="134" t="str">
        <f>"   "&amp;Labels!C233</f>
        <v xml:space="preserve">   Total</v>
      </c>
      <c r="B98" s="191">
        <f t="shared" ref="B98:G98" si="25">SUM(B96:B97)</f>
        <v>0</v>
      </c>
      <c r="C98" s="191">
        <f t="shared" si="25"/>
        <v>0</v>
      </c>
      <c r="D98" s="191">
        <f t="shared" si="25"/>
        <v>0</v>
      </c>
      <c r="E98" s="191">
        <f t="shared" si="25"/>
        <v>0</v>
      </c>
      <c r="F98" s="191">
        <f t="shared" si="25"/>
        <v>0</v>
      </c>
      <c r="G98" s="237">
        <f t="shared" si="25"/>
        <v>0</v>
      </c>
    </row>
    <row r="99" spans="1:7" ht="12.75" customHeight="1" x14ac:dyDescent="0.2">
      <c r="A99" s="91" t="str">
        <f>Labels!C212</f>
        <v>Total</v>
      </c>
      <c r="B99" s="147">
        <f t="shared" ref="B99:G99" si="26">SUM(B94,B98)</f>
        <v>0</v>
      </c>
      <c r="C99" s="147">
        <f t="shared" si="26"/>
        <v>0</v>
      </c>
      <c r="D99" s="147">
        <f t="shared" si="26"/>
        <v>0</v>
      </c>
      <c r="E99" s="147">
        <f t="shared" si="26"/>
        <v>0</v>
      </c>
      <c r="F99" s="147">
        <f t="shared" si="26"/>
        <v>0</v>
      </c>
      <c r="G99" s="212">
        <f t="shared" si="26"/>
        <v>0</v>
      </c>
    </row>
    <row r="100" spans="1:7" ht="12.75" customHeight="1" x14ac:dyDescent="0.2">
      <c r="A100" s="142" t="str">
        <f>"   "&amp;Labels!B234</f>
        <v xml:space="preserve">   Job Level 1</v>
      </c>
      <c r="B100" s="190">
        <f t="shared" ref="B100:G102" si="27">SUM(B92,B96)</f>
        <v>0</v>
      </c>
      <c r="C100" s="190">
        <f t="shared" si="27"/>
        <v>0</v>
      </c>
      <c r="D100" s="190">
        <f t="shared" si="27"/>
        <v>0</v>
      </c>
      <c r="E100" s="190">
        <f t="shared" si="27"/>
        <v>0</v>
      </c>
      <c r="F100" s="190">
        <f t="shared" si="27"/>
        <v>0</v>
      </c>
      <c r="G100" s="235">
        <f t="shared" si="27"/>
        <v>0</v>
      </c>
    </row>
    <row r="101" spans="1:7" ht="12.75" customHeight="1" x14ac:dyDescent="0.2">
      <c r="A101" s="142" t="str">
        <f>"   "&amp;Labels!B235</f>
        <v xml:space="preserve">   Job Level 2</v>
      </c>
      <c r="B101" s="190">
        <f t="shared" si="27"/>
        <v>0</v>
      </c>
      <c r="C101" s="190">
        <f t="shared" si="27"/>
        <v>0</v>
      </c>
      <c r="D101" s="190">
        <f t="shared" si="27"/>
        <v>0</v>
      </c>
      <c r="E101" s="190">
        <f t="shared" si="27"/>
        <v>0</v>
      </c>
      <c r="F101" s="190">
        <f t="shared" si="27"/>
        <v>0</v>
      </c>
      <c r="G101" s="235">
        <f t="shared" si="27"/>
        <v>0</v>
      </c>
    </row>
    <row r="102" spans="1:7" ht="12.75" customHeight="1" x14ac:dyDescent="0.2">
      <c r="A102" s="131" t="str">
        <f>"   "&amp;Labels!C233</f>
        <v xml:space="preserve">   Total</v>
      </c>
      <c r="B102" s="239">
        <f t="shared" si="27"/>
        <v>0</v>
      </c>
      <c r="C102" s="239">
        <f t="shared" si="27"/>
        <v>0</v>
      </c>
      <c r="D102" s="239">
        <f t="shared" si="27"/>
        <v>0</v>
      </c>
      <c r="E102" s="239">
        <f t="shared" si="27"/>
        <v>0</v>
      </c>
      <c r="F102" s="239">
        <f t="shared" si="27"/>
        <v>0</v>
      </c>
      <c r="G102" s="240">
        <f t="shared" si="27"/>
        <v>0</v>
      </c>
    </row>
    <row r="103" spans="1:7" ht="12.75" customHeight="1" x14ac:dyDescent="0.2">
      <c r="A103" s="1" t="str">
        <f>"Facil_Util_Exp_3"</f>
        <v>Facil_Util_Exp_3</v>
      </c>
    </row>
    <row r="104" spans="1:7" ht="12.75" customHeight="1" x14ac:dyDescent="0.2">
      <c r="B104" s="10" t="str">
        <f>'(FnCalls 1)'!F41</f>
        <v>MMM 2011</v>
      </c>
      <c r="C104" s="11" t="str">
        <f>'(FnCalls 1)'!F42</f>
        <v>MMM 2011</v>
      </c>
      <c r="D104" s="11" t="str">
        <f>'(FnCalls 1)'!F43</f>
        <v>MMM 2011</v>
      </c>
      <c r="E104" s="11" t="str">
        <f>'(FnCalls 1)'!F44</f>
        <v>MMM 2011</v>
      </c>
      <c r="F104" s="11" t="str">
        <f>'(FnCalls 1)'!F45</f>
        <v>MMM 2011</v>
      </c>
      <c r="G104" s="12" t="str">
        <f>'(FnCalls 1)'!F46</f>
        <v>MMM 2011</v>
      </c>
    </row>
    <row r="105" spans="1:7" ht="12.75" customHeight="1" x14ac:dyDescent="0.2">
      <c r="A105" s="128" t="str">
        <f>Labels!B213</f>
        <v>Sales</v>
      </c>
      <c r="B105" s="188"/>
      <c r="C105" s="188"/>
      <c r="D105" s="188"/>
      <c r="E105" s="188"/>
      <c r="F105" s="188"/>
      <c r="G105" s="234"/>
    </row>
    <row r="106" spans="1:7" ht="12.75" customHeight="1" x14ac:dyDescent="0.2">
      <c r="A106" s="142" t="str">
        <f>"   "&amp;Labels!B234</f>
        <v xml:space="preserve">   Job Level 1</v>
      </c>
      <c r="B106" s="190">
        <f>Inputs!D108*'Indirect Labor'!B25*Inputs!D111/12</f>
        <v>0</v>
      </c>
      <c r="C106" s="190">
        <f>Inputs!E108*'Indirect Labor'!C25*Inputs!E111/12</f>
        <v>0</v>
      </c>
      <c r="D106" s="190">
        <f>Inputs!F108*'Indirect Labor'!D25*Inputs!F111/12</f>
        <v>0</v>
      </c>
      <c r="E106" s="190">
        <f>Inputs!G108*'Indirect Labor'!E25*Inputs!G111/12</f>
        <v>0</v>
      </c>
      <c r="F106" s="190">
        <f>Inputs!H108*'Indirect Labor'!F25*Inputs!H111/12</f>
        <v>0</v>
      </c>
      <c r="G106" s="235">
        <f>Inputs!I108*'Indirect Labor'!G25*Inputs!I111/12</f>
        <v>0</v>
      </c>
    </row>
    <row r="107" spans="1:7" ht="12.75" customHeight="1" x14ac:dyDescent="0.2">
      <c r="A107" s="142" t="str">
        <f>"   "&amp;Labels!B235</f>
        <v xml:space="preserve">   Job Level 2</v>
      </c>
      <c r="B107" s="190">
        <f>Inputs!D108*'Indirect Labor'!B26*Inputs!D111/12</f>
        <v>0</v>
      </c>
      <c r="C107" s="190">
        <f>Inputs!E108*'Indirect Labor'!C26*Inputs!E111/12</f>
        <v>0</v>
      </c>
      <c r="D107" s="190">
        <f>Inputs!F108*'Indirect Labor'!D26*Inputs!F111/12</f>
        <v>0</v>
      </c>
      <c r="E107" s="190">
        <f>Inputs!G108*'Indirect Labor'!E26*Inputs!G111/12</f>
        <v>0</v>
      </c>
      <c r="F107" s="190">
        <f>Inputs!H108*'Indirect Labor'!F26*Inputs!H111/12</f>
        <v>0</v>
      </c>
      <c r="G107" s="235">
        <f>Inputs!I108*'Indirect Labor'!G26*Inputs!I111/12</f>
        <v>0</v>
      </c>
    </row>
    <row r="108" spans="1:7" ht="12.75" customHeight="1" x14ac:dyDescent="0.2">
      <c r="A108" s="134" t="str">
        <f>"   "&amp;Labels!C233</f>
        <v xml:space="preserve">   Total</v>
      </c>
      <c r="B108" s="191">
        <f t="shared" ref="B108:G108" si="28">SUM(B106:B107)</f>
        <v>0</v>
      </c>
      <c r="C108" s="191">
        <f t="shared" si="28"/>
        <v>0</v>
      </c>
      <c r="D108" s="191">
        <f t="shared" si="28"/>
        <v>0</v>
      </c>
      <c r="E108" s="191">
        <f t="shared" si="28"/>
        <v>0</v>
      </c>
      <c r="F108" s="191">
        <f t="shared" si="28"/>
        <v>0</v>
      </c>
      <c r="G108" s="237">
        <f t="shared" si="28"/>
        <v>0</v>
      </c>
    </row>
    <row r="109" spans="1:7" ht="12.75" customHeight="1" x14ac:dyDescent="0.2">
      <c r="A109" s="134" t="str">
        <f>Labels!B214</f>
        <v>Marketing</v>
      </c>
      <c r="B109" s="191"/>
      <c r="C109" s="191"/>
      <c r="D109" s="191"/>
      <c r="E109" s="191"/>
      <c r="F109" s="191"/>
      <c r="G109" s="237"/>
    </row>
    <row r="110" spans="1:7" ht="12.75" customHeight="1" x14ac:dyDescent="0.2">
      <c r="A110" s="142" t="str">
        <f>"   "&amp;Labels!B234</f>
        <v xml:space="preserve">   Job Level 1</v>
      </c>
      <c r="B110" s="190">
        <f>Inputs!D108*'Indirect Labor'!B29*Inputs!D111/12</f>
        <v>0</v>
      </c>
      <c r="C110" s="190">
        <f>Inputs!E108*'Indirect Labor'!C29*Inputs!E111/12</f>
        <v>0</v>
      </c>
      <c r="D110" s="190">
        <f>Inputs!F108*'Indirect Labor'!D29*Inputs!F111/12</f>
        <v>0</v>
      </c>
      <c r="E110" s="190">
        <f>Inputs!G108*'Indirect Labor'!E29*Inputs!G111/12</f>
        <v>0</v>
      </c>
      <c r="F110" s="190">
        <f>Inputs!H108*'Indirect Labor'!F29*Inputs!H111/12</f>
        <v>0</v>
      </c>
      <c r="G110" s="235">
        <f>Inputs!I108*'Indirect Labor'!G29*Inputs!I111/12</f>
        <v>0</v>
      </c>
    </row>
    <row r="111" spans="1:7" ht="12.75" customHeight="1" x14ac:dyDescent="0.2">
      <c r="A111" s="142" t="str">
        <f>"   "&amp;Labels!B235</f>
        <v xml:space="preserve">   Job Level 2</v>
      </c>
      <c r="B111" s="190">
        <f>Inputs!D108*'Indirect Labor'!B30*Inputs!D111/12</f>
        <v>0</v>
      </c>
      <c r="C111" s="190">
        <f>Inputs!E108*'Indirect Labor'!C30*Inputs!E111/12</f>
        <v>0</v>
      </c>
      <c r="D111" s="190">
        <f>Inputs!F108*'Indirect Labor'!D30*Inputs!F111/12</f>
        <v>0</v>
      </c>
      <c r="E111" s="190">
        <f>Inputs!G108*'Indirect Labor'!E30*Inputs!G111/12</f>
        <v>0</v>
      </c>
      <c r="F111" s="190">
        <f>Inputs!H108*'Indirect Labor'!F30*Inputs!H111/12</f>
        <v>0</v>
      </c>
      <c r="G111" s="235">
        <f>Inputs!I108*'Indirect Labor'!G30*Inputs!I111/12</f>
        <v>0</v>
      </c>
    </row>
    <row r="112" spans="1:7" ht="12.75" customHeight="1" x14ac:dyDescent="0.2">
      <c r="A112" s="134" t="str">
        <f>"   "&amp;Labels!C233</f>
        <v xml:space="preserve">   Total</v>
      </c>
      <c r="B112" s="191">
        <f t="shared" ref="B112:G112" si="29">SUM(B110:B111)</f>
        <v>0</v>
      </c>
      <c r="C112" s="191">
        <f t="shared" si="29"/>
        <v>0</v>
      </c>
      <c r="D112" s="191">
        <f t="shared" si="29"/>
        <v>0</v>
      </c>
      <c r="E112" s="191">
        <f t="shared" si="29"/>
        <v>0</v>
      </c>
      <c r="F112" s="191">
        <f t="shared" si="29"/>
        <v>0</v>
      </c>
      <c r="G112" s="237">
        <f t="shared" si="29"/>
        <v>0</v>
      </c>
    </row>
    <row r="113" spans="1:8" ht="12.75" customHeight="1" x14ac:dyDescent="0.2">
      <c r="A113" s="91" t="str">
        <f>Labels!C212</f>
        <v>Total</v>
      </c>
      <c r="B113" s="147">
        <f t="shared" ref="B113:G113" si="30">SUM(B108,B112)</f>
        <v>0</v>
      </c>
      <c r="C113" s="147">
        <f t="shared" si="30"/>
        <v>0</v>
      </c>
      <c r="D113" s="147">
        <f t="shared" si="30"/>
        <v>0</v>
      </c>
      <c r="E113" s="147">
        <f t="shared" si="30"/>
        <v>0</v>
      </c>
      <c r="F113" s="147">
        <f t="shared" si="30"/>
        <v>0</v>
      </c>
      <c r="G113" s="212">
        <f t="shared" si="30"/>
        <v>0</v>
      </c>
    </row>
    <row r="114" spans="1:8" ht="12.75" customHeight="1" x14ac:dyDescent="0.2">
      <c r="A114" s="142" t="str">
        <f>"   "&amp;Labels!B234</f>
        <v xml:space="preserve">   Job Level 1</v>
      </c>
      <c r="B114" s="190">
        <f t="shared" ref="B114:G116" si="31">SUM(B106,B110)</f>
        <v>0</v>
      </c>
      <c r="C114" s="190">
        <f t="shared" si="31"/>
        <v>0</v>
      </c>
      <c r="D114" s="190">
        <f t="shared" si="31"/>
        <v>0</v>
      </c>
      <c r="E114" s="190">
        <f t="shared" si="31"/>
        <v>0</v>
      </c>
      <c r="F114" s="190">
        <f t="shared" si="31"/>
        <v>0</v>
      </c>
      <c r="G114" s="235">
        <f t="shared" si="31"/>
        <v>0</v>
      </c>
    </row>
    <row r="115" spans="1:8" ht="12.75" customHeight="1" x14ac:dyDescent="0.2">
      <c r="A115" s="142" t="str">
        <f>"   "&amp;Labels!B235</f>
        <v xml:space="preserve">   Job Level 2</v>
      </c>
      <c r="B115" s="190">
        <f t="shared" si="31"/>
        <v>0</v>
      </c>
      <c r="C115" s="190">
        <f t="shared" si="31"/>
        <v>0</v>
      </c>
      <c r="D115" s="190">
        <f t="shared" si="31"/>
        <v>0</v>
      </c>
      <c r="E115" s="190">
        <f t="shared" si="31"/>
        <v>0</v>
      </c>
      <c r="F115" s="190">
        <f t="shared" si="31"/>
        <v>0</v>
      </c>
      <c r="G115" s="235">
        <f t="shared" si="31"/>
        <v>0</v>
      </c>
    </row>
    <row r="116" spans="1:8" ht="12.75" customHeight="1" x14ac:dyDescent="0.2">
      <c r="A116" s="131" t="str">
        <f>"   "&amp;Labels!C233</f>
        <v xml:space="preserve">   Total</v>
      </c>
      <c r="B116" s="239">
        <f t="shared" si="31"/>
        <v>0</v>
      </c>
      <c r="C116" s="239">
        <f t="shared" si="31"/>
        <v>0</v>
      </c>
      <c r="D116" s="239">
        <f t="shared" si="31"/>
        <v>0</v>
      </c>
      <c r="E116" s="239">
        <f t="shared" si="31"/>
        <v>0</v>
      </c>
      <c r="F116" s="239">
        <f t="shared" si="31"/>
        <v>0</v>
      </c>
      <c r="G116" s="240">
        <f t="shared" si="31"/>
        <v>0</v>
      </c>
    </row>
    <row r="117" spans="1:8" ht="12.75" customHeight="1" x14ac:dyDescent="0.2">
      <c r="A117" s="1" t="str">
        <f>"Sales_Commission_1"</f>
        <v>Sales_Commission_1</v>
      </c>
    </row>
    <row r="118" spans="1:8" ht="12.75" customHeight="1" x14ac:dyDescent="0.2">
      <c r="B118" s="10" t="str">
        <f>'(FnCalls 1)'!F41</f>
        <v>MMM 2011</v>
      </c>
      <c r="C118" s="11" t="str">
        <f>'(FnCalls 1)'!F42</f>
        <v>MMM 2011</v>
      </c>
      <c r="D118" s="11" t="str">
        <f>'(FnCalls 1)'!F43</f>
        <v>MMM 2011</v>
      </c>
      <c r="E118" s="11" t="str">
        <f>'(FnCalls 1)'!F44</f>
        <v>MMM 2011</v>
      </c>
      <c r="F118" s="11" t="str">
        <f>'(FnCalls 1)'!F45</f>
        <v>MMM 2011</v>
      </c>
      <c r="G118" s="12" t="str">
        <f>'(FnCalls 1)'!F46</f>
        <v>MMM 2011</v>
      </c>
    </row>
    <row r="119" spans="1:8" ht="12.75" customHeight="1" x14ac:dyDescent="0.2">
      <c r="A119" s="128" t="str">
        <f>Labels!B259</f>
        <v>Location 1</v>
      </c>
      <c r="B119" s="241">
        <f>Inputs!D94*Inputs!D95*'(Tables)'!B170</f>
        <v>0</v>
      </c>
      <c r="C119" s="241">
        <f>Inputs!E94*Inputs!E95*'(Tables)'!C170</f>
        <v>0</v>
      </c>
      <c r="D119" s="241">
        <f>Inputs!F94*Inputs!F95*'(Tables)'!D170</f>
        <v>0</v>
      </c>
      <c r="E119" s="241">
        <f>Inputs!G94*Inputs!G95*'(Tables)'!E170</f>
        <v>0</v>
      </c>
      <c r="F119" s="241">
        <f>Inputs!H94*Inputs!H95*'(Tables)'!F170</f>
        <v>0</v>
      </c>
      <c r="G119" s="242">
        <f>Inputs!I94*Inputs!I95*'(Tables)'!G170</f>
        <v>0</v>
      </c>
    </row>
    <row r="120" spans="1:8" ht="12.75" customHeight="1" x14ac:dyDescent="0.2">
      <c r="A120" s="134" t="str">
        <f>Labels!B260</f>
        <v>Location 2</v>
      </c>
      <c r="B120" s="200">
        <f>Inputs!D94*Inputs!D95*'(Tables)'!B171</f>
        <v>0</v>
      </c>
      <c r="C120" s="200">
        <f>Inputs!E94*Inputs!E95*'(Tables)'!C171</f>
        <v>0</v>
      </c>
      <c r="D120" s="200">
        <f>Inputs!F94*Inputs!F95*'(Tables)'!D171</f>
        <v>0</v>
      </c>
      <c r="E120" s="200">
        <f>Inputs!G94*Inputs!G95*'(Tables)'!E171</f>
        <v>0</v>
      </c>
      <c r="F120" s="200">
        <f>Inputs!H94*Inputs!H95*'(Tables)'!F171</f>
        <v>0</v>
      </c>
      <c r="G120" s="243">
        <f>Inputs!I94*Inputs!I95*'(Tables)'!G171</f>
        <v>0</v>
      </c>
    </row>
    <row r="121" spans="1:8" ht="12.75" customHeight="1" x14ac:dyDescent="0.2">
      <c r="A121" s="91" t="str">
        <f>Labels!C258</f>
        <v>Total</v>
      </c>
      <c r="B121" s="244">
        <f t="shared" ref="B121:G121" si="32">SUM(B119:B120)</f>
        <v>0</v>
      </c>
      <c r="C121" s="244">
        <f t="shared" si="32"/>
        <v>0</v>
      </c>
      <c r="D121" s="244">
        <f t="shared" si="32"/>
        <v>0</v>
      </c>
      <c r="E121" s="244">
        <f t="shared" si="32"/>
        <v>0</v>
      </c>
      <c r="F121" s="244">
        <f t="shared" si="32"/>
        <v>0</v>
      </c>
      <c r="G121" s="245">
        <f t="shared" si="32"/>
        <v>0</v>
      </c>
    </row>
    <row r="122" spans="1:8" ht="12.75" customHeight="1" x14ac:dyDescent="0.2">
      <c r="A122" s="1" t="str">
        <f>"Accts_Receivable_1"</f>
        <v>Accts_Receivable_1</v>
      </c>
    </row>
    <row r="123" spans="1:8" ht="12.75" customHeight="1" x14ac:dyDescent="0.2">
      <c r="B123" s="10" t="str">
        <f>'(FnCalls 1)'!F40</f>
        <v>MMM 2010</v>
      </c>
      <c r="C123" s="11" t="str">
        <f>'(FnCalls 1)'!F41</f>
        <v>MMM 2011</v>
      </c>
      <c r="D123" s="11" t="str">
        <f>'(FnCalls 1)'!F42</f>
        <v>MMM 2011</v>
      </c>
      <c r="E123" s="11" t="str">
        <f>'(FnCalls 1)'!F43</f>
        <v>MMM 2011</v>
      </c>
      <c r="F123" s="11" t="str">
        <f>'(FnCalls 1)'!F44</f>
        <v>MMM 2011</v>
      </c>
      <c r="G123" s="11" t="str">
        <f>'(FnCalls 1)'!F45</f>
        <v>MMM 2011</v>
      </c>
      <c r="H123" s="12" t="str">
        <f>'(FnCalls 1)'!F46</f>
        <v>MMM 2011</v>
      </c>
    </row>
    <row r="124" spans="1:8" ht="12.75" customHeight="1" x14ac:dyDescent="0.2">
      <c r="A124" s="128" t="str">
        <f>Labels!B255</f>
        <v>Product 1</v>
      </c>
      <c r="B124" s="141"/>
      <c r="C124" s="141"/>
      <c r="D124" s="141"/>
      <c r="E124" s="141"/>
      <c r="F124" s="141"/>
      <c r="G124" s="141"/>
      <c r="H124" s="225"/>
    </row>
    <row r="125" spans="1:8" ht="12.75" customHeight="1" x14ac:dyDescent="0.2">
      <c r="A125" s="142" t="str">
        <f>"   "&amp;Labels!B259</f>
        <v xml:space="preserve">   Location 1</v>
      </c>
      <c r="B125" s="143"/>
      <c r="C125" s="143">
        <f>1/('(FnCalls 1)'!A42-'(FnCalls 1)'!A41)*Inputs!D180*Sales!B32</f>
        <v>0</v>
      </c>
      <c r="D125" s="143">
        <f>1/('(FnCalls 1)'!A43-'(FnCalls 1)'!A42)*Inputs!E180*Sales!C32</f>
        <v>0</v>
      </c>
      <c r="E125" s="143">
        <f>1/('(FnCalls 1)'!A44-'(FnCalls 1)'!A43)*Inputs!F180*Sales!D32</f>
        <v>0</v>
      </c>
      <c r="F125" s="143">
        <f>1/('(FnCalls 1)'!A45-'(FnCalls 1)'!A44)*Inputs!G180*Sales!E32</f>
        <v>0</v>
      </c>
      <c r="G125" s="143">
        <f>1/('(FnCalls 1)'!A46-'(FnCalls 1)'!A45)*Inputs!H180*Sales!F32</f>
        <v>0</v>
      </c>
      <c r="H125" s="246">
        <f>1/('(FnCalls 1)'!A47-'(FnCalls 1)'!A46)*Inputs!I180*Sales!G32</f>
        <v>0</v>
      </c>
    </row>
    <row r="126" spans="1:8" ht="12.75" customHeight="1" x14ac:dyDescent="0.2">
      <c r="A126" s="142" t="str">
        <f>"   "&amp;Labels!B260</f>
        <v xml:space="preserve">   Location 2</v>
      </c>
      <c r="B126" s="143"/>
      <c r="C126" s="143">
        <f>1/('(FnCalls 1)'!A42-'(FnCalls 1)'!A41)*Inputs!D180*Sales!B33</f>
        <v>0</v>
      </c>
      <c r="D126" s="143">
        <f>1/('(FnCalls 1)'!A43-'(FnCalls 1)'!A42)*Inputs!E180*Sales!C33</f>
        <v>0</v>
      </c>
      <c r="E126" s="143">
        <f>1/('(FnCalls 1)'!A44-'(FnCalls 1)'!A43)*Inputs!F180*Sales!D33</f>
        <v>0</v>
      </c>
      <c r="F126" s="143">
        <f>1/('(FnCalls 1)'!A45-'(FnCalls 1)'!A44)*Inputs!G180*Sales!E33</f>
        <v>0</v>
      </c>
      <c r="G126" s="143">
        <f>1/('(FnCalls 1)'!A46-'(FnCalls 1)'!A45)*Inputs!H180*Sales!F33</f>
        <v>0</v>
      </c>
      <c r="H126" s="246">
        <f>1/('(FnCalls 1)'!A47-'(FnCalls 1)'!A46)*Inputs!I180*Sales!G33</f>
        <v>0</v>
      </c>
    </row>
    <row r="127" spans="1:8" ht="12.75" customHeight="1" x14ac:dyDescent="0.2">
      <c r="A127" s="134" t="str">
        <f>"   "&amp;Labels!C258</f>
        <v xml:space="preserve">   Total</v>
      </c>
      <c r="B127" s="145">
        <f t="shared" ref="B127:H127" si="33">SUM(B125:B126)</f>
        <v>0</v>
      </c>
      <c r="C127" s="145">
        <f t="shared" si="33"/>
        <v>0</v>
      </c>
      <c r="D127" s="145">
        <f t="shared" si="33"/>
        <v>0</v>
      </c>
      <c r="E127" s="145">
        <f t="shared" si="33"/>
        <v>0</v>
      </c>
      <c r="F127" s="145">
        <f t="shared" si="33"/>
        <v>0</v>
      </c>
      <c r="G127" s="145">
        <f t="shared" si="33"/>
        <v>0</v>
      </c>
      <c r="H127" s="226">
        <f t="shared" si="33"/>
        <v>0</v>
      </c>
    </row>
    <row r="128" spans="1:8" ht="12.75" customHeight="1" x14ac:dyDescent="0.2">
      <c r="A128" s="134" t="str">
        <f>Labels!B256</f>
        <v>Product 2</v>
      </c>
      <c r="B128" s="145"/>
      <c r="C128" s="145"/>
      <c r="D128" s="145"/>
      <c r="E128" s="145"/>
      <c r="F128" s="145"/>
      <c r="G128" s="145"/>
      <c r="H128" s="226"/>
    </row>
    <row r="129" spans="1:8" ht="12.75" customHeight="1" x14ac:dyDescent="0.2">
      <c r="A129" s="142" t="str">
        <f>"   "&amp;Labels!B259</f>
        <v xml:space="preserve">   Location 1</v>
      </c>
      <c r="B129" s="143"/>
      <c r="C129" s="143">
        <f>1/('(FnCalls 1)'!A42-'(FnCalls 1)'!A41)*Inputs!D180*Sales!B36</f>
        <v>0</v>
      </c>
      <c r="D129" s="143">
        <f>1/('(FnCalls 1)'!A43-'(FnCalls 1)'!A42)*Inputs!E180*Sales!C36</f>
        <v>0</v>
      </c>
      <c r="E129" s="143">
        <f>1/('(FnCalls 1)'!A44-'(FnCalls 1)'!A43)*Inputs!F180*Sales!D36</f>
        <v>0</v>
      </c>
      <c r="F129" s="143">
        <f>1/('(FnCalls 1)'!A45-'(FnCalls 1)'!A44)*Inputs!G180*Sales!E36</f>
        <v>0</v>
      </c>
      <c r="G129" s="143">
        <f>1/('(FnCalls 1)'!A46-'(FnCalls 1)'!A45)*Inputs!H180*Sales!F36</f>
        <v>0</v>
      </c>
      <c r="H129" s="246">
        <f>1/('(FnCalls 1)'!A47-'(FnCalls 1)'!A46)*Inputs!I180*Sales!G36</f>
        <v>0</v>
      </c>
    </row>
    <row r="130" spans="1:8" ht="12.75" customHeight="1" x14ac:dyDescent="0.2">
      <c r="A130" s="142" t="str">
        <f>"   "&amp;Labels!B260</f>
        <v xml:space="preserve">   Location 2</v>
      </c>
      <c r="B130" s="143"/>
      <c r="C130" s="143">
        <f>1/('(FnCalls 1)'!A42-'(FnCalls 1)'!A41)*Inputs!D180*Sales!B37</f>
        <v>0</v>
      </c>
      <c r="D130" s="143">
        <f>1/('(FnCalls 1)'!A43-'(FnCalls 1)'!A42)*Inputs!E180*Sales!C37</f>
        <v>0</v>
      </c>
      <c r="E130" s="143">
        <f>1/('(FnCalls 1)'!A44-'(FnCalls 1)'!A43)*Inputs!F180*Sales!D37</f>
        <v>0</v>
      </c>
      <c r="F130" s="143">
        <f>1/('(FnCalls 1)'!A45-'(FnCalls 1)'!A44)*Inputs!G180*Sales!E37</f>
        <v>0</v>
      </c>
      <c r="G130" s="143">
        <f>1/('(FnCalls 1)'!A46-'(FnCalls 1)'!A45)*Inputs!H180*Sales!F37</f>
        <v>0</v>
      </c>
      <c r="H130" s="246">
        <f>1/('(FnCalls 1)'!A47-'(FnCalls 1)'!A46)*Inputs!I180*Sales!G37</f>
        <v>0</v>
      </c>
    </row>
    <row r="131" spans="1:8" ht="12.75" customHeight="1" x14ac:dyDescent="0.2">
      <c r="A131" s="134" t="str">
        <f>"   "&amp;Labels!C258</f>
        <v xml:space="preserve">   Total</v>
      </c>
      <c r="B131" s="145">
        <f t="shared" ref="B131:H131" si="34">SUM(B129:B130)</f>
        <v>0</v>
      </c>
      <c r="C131" s="145">
        <f t="shared" si="34"/>
        <v>0</v>
      </c>
      <c r="D131" s="145">
        <f t="shared" si="34"/>
        <v>0</v>
      </c>
      <c r="E131" s="145">
        <f t="shared" si="34"/>
        <v>0</v>
      </c>
      <c r="F131" s="145">
        <f t="shared" si="34"/>
        <v>0</v>
      </c>
      <c r="G131" s="145">
        <f t="shared" si="34"/>
        <v>0</v>
      </c>
      <c r="H131" s="226">
        <f t="shared" si="34"/>
        <v>0</v>
      </c>
    </row>
    <row r="132" spans="1:8" ht="12.75" customHeight="1" x14ac:dyDescent="0.2">
      <c r="A132" s="91" t="str">
        <f>Labels!C254</f>
        <v>Total</v>
      </c>
      <c r="B132" s="149">
        <f t="shared" ref="B132:H132" si="35">SUM(B127,B131)</f>
        <v>0</v>
      </c>
      <c r="C132" s="149">
        <f t="shared" si="35"/>
        <v>0</v>
      </c>
      <c r="D132" s="149">
        <f t="shared" si="35"/>
        <v>0</v>
      </c>
      <c r="E132" s="149">
        <f t="shared" si="35"/>
        <v>0</v>
      </c>
      <c r="F132" s="149">
        <f t="shared" si="35"/>
        <v>0</v>
      </c>
      <c r="G132" s="149">
        <f t="shared" si="35"/>
        <v>0</v>
      </c>
      <c r="H132" s="227">
        <f t="shared" si="35"/>
        <v>0</v>
      </c>
    </row>
    <row r="133" spans="1:8" ht="12.75" customHeight="1" x14ac:dyDescent="0.2">
      <c r="A133" s="142" t="str">
        <f>"   "&amp;Labels!B259</f>
        <v xml:space="preserve">   Location 1</v>
      </c>
      <c r="B133" s="143">
        <f t="shared" ref="B133:H135" si="36">SUM(B125,B129)</f>
        <v>0</v>
      </c>
      <c r="C133" s="143">
        <f t="shared" si="36"/>
        <v>0</v>
      </c>
      <c r="D133" s="143">
        <f t="shared" si="36"/>
        <v>0</v>
      </c>
      <c r="E133" s="143">
        <f t="shared" si="36"/>
        <v>0</v>
      </c>
      <c r="F133" s="143">
        <f t="shared" si="36"/>
        <v>0</v>
      </c>
      <c r="G133" s="143">
        <f t="shared" si="36"/>
        <v>0</v>
      </c>
      <c r="H133" s="246">
        <f t="shared" si="36"/>
        <v>0</v>
      </c>
    </row>
    <row r="134" spans="1:8" ht="12.75" customHeight="1" x14ac:dyDescent="0.2">
      <c r="A134" s="142" t="str">
        <f>"   "&amp;Labels!B260</f>
        <v xml:space="preserve">   Location 2</v>
      </c>
      <c r="B134" s="143">
        <f t="shared" si="36"/>
        <v>0</v>
      </c>
      <c r="C134" s="143">
        <f t="shared" si="36"/>
        <v>0</v>
      </c>
      <c r="D134" s="143">
        <f t="shared" si="36"/>
        <v>0</v>
      </c>
      <c r="E134" s="143">
        <f t="shared" si="36"/>
        <v>0</v>
      </c>
      <c r="F134" s="143">
        <f t="shared" si="36"/>
        <v>0</v>
      </c>
      <c r="G134" s="143">
        <f t="shared" si="36"/>
        <v>0</v>
      </c>
      <c r="H134" s="246">
        <f t="shared" si="36"/>
        <v>0</v>
      </c>
    </row>
    <row r="135" spans="1:8" ht="12.75" customHeight="1" x14ac:dyDescent="0.2">
      <c r="A135" s="131" t="str">
        <f>"   "&amp;Labels!C258</f>
        <v xml:space="preserve">   Total</v>
      </c>
      <c r="B135" s="127">
        <f t="shared" si="36"/>
        <v>0</v>
      </c>
      <c r="C135" s="127">
        <f t="shared" si="36"/>
        <v>0</v>
      </c>
      <c r="D135" s="127">
        <f t="shared" si="36"/>
        <v>0</v>
      </c>
      <c r="E135" s="127">
        <f t="shared" si="36"/>
        <v>0</v>
      </c>
      <c r="F135" s="127">
        <f t="shared" si="36"/>
        <v>0</v>
      </c>
      <c r="G135" s="127">
        <f t="shared" si="36"/>
        <v>0</v>
      </c>
      <c r="H135" s="247">
        <f t="shared" si="36"/>
        <v>0</v>
      </c>
    </row>
    <row r="136" spans="1:8" ht="12.75" customHeight="1" x14ac:dyDescent="0.2">
      <c r="A136" s="1" t="str">
        <f>"Accts_Receivable_2"</f>
        <v>Accts_Receivable_2</v>
      </c>
    </row>
    <row r="137" spans="1:8" ht="12.75" customHeight="1" x14ac:dyDescent="0.2">
      <c r="B137" s="10" t="str">
        <f>'(FnCalls 1)'!F40</f>
        <v>MMM 2010</v>
      </c>
      <c r="C137" s="11" t="str">
        <f>'(FnCalls 1)'!F41</f>
        <v>MMM 2011</v>
      </c>
      <c r="D137" s="11" t="str">
        <f>'(FnCalls 1)'!F42</f>
        <v>MMM 2011</v>
      </c>
      <c r="E137" s="11" t="str">
        <f>'(FnCalls 1)'!F43</f>
        <v>MMM 2011</v>
      </c>
      <c r="F137" s="11" t="str">
        <f>'(FnCalls 1)'!F44</f>
        <v>MMM 2011</v>
      </c>
      <c r="G137" s="11" t="str">
        <f>'(FnCalls 1)'!F45</f>
        <v>MMM 2011</v>
      </c>
      <c r="H137" s="12" t="str">
        <f>'(FnCalls 1)'!F46</f>
        <v>MMM 2011</v>
      </c>
    </row>
    <row r="138" spans="1:8" ht="12.75" customHeight="1" x14ac:dyDescent="0.2">
      <c r="A138" s="128" t="str">
        <f>Labels!B255</f>
        <v>Product 1</v>
      </c>
      <c r="B138" s="141"/>
      <c r="C138" s="141"/>
      <c r="D138" s="141"/>
      <c r="E138" s="141"/>
      <c r="F138" s="141"/>
      <c r="G138" s="141"/>
      <c r="H138" s="225"/>
    </row>
    <row r="139" spans="1:8" ht="12.75" customHeight="1" x14ac:dyDescent="0.2">
      <c r="A139" s="142" t="str">
        <f>"   "&amp;Labels!B259</f>
        <v xml:space="preserve">   Location 1</v>
      </c>
      <c r="B139" s="143">
        <f>1/('(FnCalls 1)'!A41-'(FnCalls 1)'!A40)*0*0/2/2</f>
        <v>0</v>
      </c>
      <c r="C139" s="143">
        <f>1/('(FnCalls 1)'!A42-'(FnCalls 1)'!A41)*0*0/2/2</f>
        <v>0</v>
      </c>
      <c r="D139" s="143">
        <f>1/('(FnCalls 1)'!A43-'(FnCalls 1)'!A42)*0*0/2/2</f>
        <v>0</v>
      </c>
      <c r="E139" s="143">
        <f>1/('(FnCalls 1)'!A44-'(FnCalls 1)'!A43)*0*0/2/2</f>
        <v>0</v>
      </c>
      <c r="F139" s="143">
        <f>1/('(FnCalls 1)'!A45-'(FnCalls 1)'!A44)*0*0/2/2</f>
        <v>0</v>
      </c>
      <c r="G139" s="143">
        <f>1/('(FnCalls 1)'!A46-'(FnCalls 1)'!A45)*0*0/2/2</f>
        <v>0</v>
      </c>
      <c r="H139" s="246">
        <f>1/('(FnCalls 1)'!A47-'(FnCalls 1)'!A46)*0*0/2/2</f>
        <v>0</v>
      </c>
    </row>
    <row r="140" spans="1:8" ht="12.75" customHeight="1" x14ac:dyDescent="0.2">
      <c r="A140" s="142" t="str">
        <f>"   "&amp;Labels!B260</f>
        <v xml:space="preserve">   Location 2</v>
      </c>
      <c r="B140" s="143">
        <f>1/('(FnCalls 1)'!A41-'(FnCalls 1)'!A40)*0*0/2/2</f>
        <v>0</v>
      </c>
      <c r="C140" s="143">
        <f>1/('(FnCalls 1)'!A42-'(FnCalls 1)'!A41)*0*0/2/2</f>
        <v>0</v>
      </c>
      <c r="D140" s="143">
        <f>1/('(FnCalls 1)'!A43-'(FnCalls 1)'!A42)*0*0/2/2</f>
        <v>0</v>
      </c>
      <c r="E140" s="143">
        <f>1/('(FnCalls 1)'!A44-'(FnCalls 1)'!A43)*0*0/2/2</f>
        <v>0</v>
      </c>
      <c r="F140" s="143">
        <f>1/('(FnCalls 1)'!A45-'(FnCalls 1)'!A44)*0*0/2/2</f>
        <v>0</v>
      </c>
      <c r="G140" s="143">
        <f>1/('(FnCalls 1)'!A46-'(FnCalls 1)'!A45)*0*0/2/2</f>
        <v>0</v>
      </c>
      <c r="H140" s="246">
        <f>1/('(FnCalls 1)'!A47-'(FnCalls 1)'!A46)*0*0/2/2</f>
        <v>0</v>
      </c>
    </row>
    <row r="141" spans="1:8" ht="12.75" customHeight="1" x14ac:dyDescent="0.2">
      <c r="A141" s="134" t="str">
        <f>"   "&amp;Labels!C258</f>
        <v xml:space="preserve">   Total</v>
      </c>
      <c r="B141" s="145">
        <f t="shared" ref="B141:H141" si="37">SUM(B139:B140)</f>
        <v>0</v>
      </c>
      <c r="C141" s="145">
        <f t="shared" si="37"/>
        <v>0</v>
      </c>
      <c r="D141" s="145">
        <f t="shared" si="37"/>
        <v>0</v>
      </c>
      <c r="E141" s="145">
        <f t="shared" si="37"/>
        <v>0</v>
      </c>
      <c r="F141" s="145">
        <f t="shared" si="37"/>
        <v>0</v>
      </c>
      <c r="G141" s="145">
        <f t="shared" si="37"/>
        <v>0</v>
      </c>
      <c r="H141" s="226">
        <f t="shared" si="37"/>
        <v>0</v>
      </c>
    </row>
    <row r="142" spans="1:8" ht="12.75" customHeight="1" x14ac:dyDescent="0.2">
      <c r="A142" s="134" t="str">
        <f>Labels!B256</f>
        <v>Product 2</v>
      </c>
      <c r="B142" s="145"/>
      <c r="C142" s="145"/>
      <c r="D142" s="145"/>
      <c r="E142" s="145"/>
      <c r="F142" s="145"/>
      <c r="G142" s="145"/>
      <c r="H142" s="226"/>
    </row>
    <row r="143" spans="1:8" ht="12.75" customHeight="1" x14ac:dyDescent="0.2">
      <c r="A143" s="142" t="str">
        <f>"   "&amp;Labels!B259</f>
        <v xml:space="preserve">   Location 1</v>
      </c>
      <c r="B143" s="143">
        <f>1/('(FnCalls 1)'!A41-'(FnCalls 1)'!A40)*0*0/2/2</f>
        <v>0</v>
      </c>
      <c r="C143" s="143">
        <f>1/('(FnCalls 1)'!A42-'(FnCalls 1)'!A41)*0*0/2/2</f>
        <v>0</v>
      </c>
      <c r="D143" s="143">
        <f>1/('(FnCalls 1)'!A43-'(FnCalls 1)'!A42)*0*0/2/2</f>
        <v>0</v>
      </c>
      <c r="E143" s="143">
        <f>1/('(FnCalls 1)'!A44-'(FnCalls 1)'!A43)*0*0/2/2</f>
        <v>0</v>
      </c>
      <c r="F143" s="143">
        <f>1/('(FnCalls 1)'!A45-'(FnCalls 1)'!A44)*0*0/2/2</f>
        <v>0</v>
      </c>
      <c r="G143" s="143">
        <f>1/('(FnCalls 1)'!A46-'(FnCalls 1)'!A45)*0*0/2/2</f>
        <v>0</v>
      </c>
      <c r="H143" s="246">
        <f>1/('(FnCalls 1)'!A47-'(FnCalls 1)'!A46)*0*0/2/2</f>
        <v>0</v>
      </c>
    </row>
    <row r="144" spans="1:8" ht="12.75" customHeight="1" x14ac:dyDescent="0.2">
      <c r="A144" s="142" t="str">
        <f>"   "&amp;Labels!B260</f>
        <v xml:space="preserve">   Location 2</v>
      </c>
      <c r="B144" s="143">
        <f>1/('(FnCalls 1)'!A41-'(FnCalls 1)'!A40)*0*0/2/2</f>
        <v>0</v>
      </c>
      <c r="C144" s="143">
        <f>1/('(FnCalls 1)'!A42-'(FnCalls 1)'!A41)*0*0/2/2</f>
        <v>0</v>
      </c>
      <c r="D144" s="143">
        <f>1/('(FnCalls 1)'!A43-'(FnCalls 1)'!A42)*0*0/2/2</f>
        <v>0</v>
      </c>
      <c r="E144" s="143">
        <f>1/('(FnCalls 1)'!A44-'(FnCalls 1)'!A43)*0*0/2/2</f>
        <v>0</v>
      </c>
      <c r="F144" s="143">
        <f>1/('(FnCalls 1)'!A45-'(FnCalls 1)'!A44)*0*0/2/2</f>
        <v>0</v>
      </c>
      <c r="G144" s="143">
        <f>1/('(FnCalls 1)'!A46-'(FnCalls 1)'!A45)*0*0/2/2</f>
        <v>0</v>
      </c>
      <c r="H144" s="246">
        <f>1/('(FnCalls 1)'!A47-'(FnCalls 1)'!A46)*0*0/2/2</f>
        <v>0</v>
      </c>
    </row>
    <row r="145" spans="1:8" ht="12.75" customHeight="1" x14ac:dyDescent="0.2">
      <c r="A145" s="134" t="str">
        <f>"   "&amp;Labels!C258</f>
        <v xml:space="preserve">   Total</v>
      </c>
      <c r="B145" s="145">
        <f t="shared" ref="B145:H145" si="38">SUM(B143:B144)</f>
        <v>0</v>
      </c>
      <c r="C145" s="145">
        <f t="shared" si="38"/>
        <v>0</v>
      </c>
      <c r="D145" s="145">
        <f t="shared" si="38"/>
        <v>0</v>
      </c>
      <c r="E145" s="145">
        <f t="shared" si="38"/>
        <v>0</v>
      </c>
      <c r="F145" s="145">
        <f t="shared" si="38"/>
        <v>0</v>
      </c>
      <c r="G145" s="145">
        <f t="shared" si="38"/>
        <v>0</v>
      </c>
      <c r="H145" s="226">
        <f t="shared" si="38"/>
        <v>0</v>
      </c>
    </row>
    <row r="146" spans="1:8" ht="12.75" customHeight="1" x14ac:dyDescent="0.2">
      <c r="A146" s="91" t="str">
        <f>Labels!C254</f>
        <v>Total</v>
      </c>
      <c r="B146" s="149">
        <f t="shared" ref="B146:H146" si="39">SUM(B141,B145)</f>
        <v>0</v>
      </c>
      <c r="C146" s="149">
        <f t="shared" si="39"/>
        <v>0</v>
      </c>
      <c r="D146" s="149">
        <f t="shared" si="39"/>
        <v>0</v>
      </c>
      <c r="E146" s="149">
        <f t="shared" si="39"/>
        <v>0</v>
      </c>
      <c r="F146" s="149">
        <f t="shared" si="39"/>
        <v>0</v>
      </c>
      <c r="G146" s="149">
        <f t="shared" si="39"/>
        <v>0</v>
      </c>
      <c r="H146" s="227">
        <f t="shared" si="39"/>
        <v>0</v>
      </c>
    </row>
    <row r="147" spans="1:8" ht="12.75" customHeight="1" x14ac:dyDescent="0.2">
      <c r="A147" s="142" t="str">
        <f>"   "&amp;Labels!B259</f>
        <v xml:space="preserve">   Location 1</v>
      </c>
      <c r="B147" s="143">
        <f t="shared" ref="B147:H149" si="40">SUM(B139,B143)</f>
        <v>0</v>
      </c>
      <c r="C147" s="143">
        <f t="shared" si="40"/>
        <v>0</v>
      </c>
      <c r="D147" s="143">
        <f t="shared" si="40"/>
        <v>0</v>
      </c>
      <c r="E147" s="143">
        <f t="shared" si="40"/>
        <v>0</v>
      </c>
      <c r="F147" s="143">
        <f t="shared" si="40"/>
        <v>0</v>
      </c>
      <c r="G147" s="143">
        <f t="shared" si="40"/>
        <v>0</v>
      </c>
      <c r="H147" s="246">
        <f t="shared" si="40"/>
        <v>0</v>
      </c>
    </row>
    <row r="148" spans="1:8" ht="12.75" customHeight="1" x14ac:dyDescent="0.2">
      <c r="A148" s="142" t="str">
        <f>"   "&amp;Labels!B260</f>
        <v xml:space="preserve">   Location 2</v>
      </c>
      <c r="B148" s="143">
        <f t="shared" si="40"/>
        <v>0</v>
      </c>
      <c r="C148" s="143">
        <f t="shared" si="40"/>
        <v>0</v>
      </c>
      <c r="D148" s="143">
        <f t="shared" si="40"/>
        <v>0</v>
      </c>
      <c r="E148" s="143">
        <f t="shared" si="40"/>
        <v>0</v>
      </c>
      <c r="F148" s="143">
        <f t="shared" si="40"/>
        <v>0</v>
      </c>
      <c r="G148" s="143">
        <f t="shared" si="40"/>
        <v>0</v>
      </c>
      <c r="H148" s="246">
        <f t="shared" si="40"/>
        <v>0</v>
      </c>
    </row>
    <row r="149" spans="1:8" ht="12.75" customHeight="1" x14ac:dyDescent="0.2">
      <c r="A149" s="131" t="str">
        <f>"   "&amp;Labels!C258</f>
        <v xml:space="preserve">   Total</v>
      </c>
      <c r="B149" s="127">
        <f t="shared" si="40"/>
        <v>0</v>
      </c>
      <c r="C149" s="127">
        <f t="shared" si="40"/>
        <v>0</v>
      </c>
      <c r="D149" s="127">
        <f t="shared" si="40"/>
        <v>0</v>
      </c>
      <c r="E149" s="127">
        <f t="shared" si="40"/>
        <v>0</v>
      </c>
      <c r="F149" s="127">
        <f t="shared" si="40"/>
        <v>0</v>
      </c>
      <c r="G149" s="127">
        <f t="shared" si="40"/>
        <v>0</v>
      </c>
      <c r="H149" s="247">
        <f t="shared" si="40"/>
        <v>0</v>
      </c>
    </row>
    <row r="150" spans="1:8" ht="12.75" customHeight="1" x14ac:dyDescent="0.2">
      <c r="A150" s="1" t="str">
        <f>"Accts_Receivable_3"</f>
        <v>Accts_Receivable_3</v>
      </c>
    </row>
    <row r="151" spans="1:8" ht="12.75" customHeight="1" x14ac:dyDescent="0.2">
      <c r="B151" s="10" t="str">
        <f>'(FnCalls 1)'!F40</f>
        <v>MMM 2010</v>
      </c>
      <c r="C151" s="11" t="str">
        <f>'(FnCalls 1)'!F41</f>
        <v>MMM 2011</v>
      </c>
      <c r="D151" s="11" t="str">
        <f>'(FnCalls 1)'!F42</f>
        <v>MMM 2011</v>
      </c>
      <c r="E151" s="11" t="str">
        <f>'(FnCalls 1)'!F43</f>
        <v>MMM 2011</v>
      </c>
      <c r="F151" s="11" t="str">
        <f>'(FnCalls 1)'!F44</f>
        <v>MMM 2011</v>
      </c>
      <c r="G151" s="11" t="str">
        <f>'(FnCalls 1)'!F45</f>
        <v>MMM 2011</v>
      </c>
      <c r="H151" s="12" t="str">
        <f>'(FnCalls 1)'!F46</f>
        <v>MMM 2011</v>
      </c>
    </row>
    <row r="152" spans="1:8" ht="12.75" customHeight="1" x14ac:dyDescent="0.2">
      <c r="A152" s="128" t="str">
        <f>Labels!B259</f>
        <v>Location 1</v>
      </c>
      <c r="B152" s="141">
        <f>1/('(FnCalls 1)'!A41-'(FnCalls 1)'!A40)*0*0</f>
        <v>0</v>
      </c>
      <c r="C152" s="141">
        <f>1/('(FnCalls 1)'!A42-'(FnCalls 1)'!A41)*0*0</f>
        <v>0</v>
      </c>
      <c r="D152" s="141">
        <f>1/('(FnCalls 1)'!A43-'(FnCalls 1)'!A42)*0*0</f>
        <v>0</v>
      </c>
      <c r="E152" s="141">
        <f>1/('(FnCalls 1)'!A44-'(FnCalls 1)'!A43)*0*0</f>
        <v>0</v>
      </c>
      <c r="F152" s="141">
        <f>1/('(FnCalls 1)'!A45-'(FnCalls 1)'!A44)*0*0</f>
        <v>0</v>
      </c>
      <c r="G152" s="141">
        <f>1/('(FnCalls 1)'!A46-'(FnCalls 1)'!A45)*0*0</f>
        <v>0</v>
      </c>
      <c r="H152" s="225">
        <f>1/('(FnCalls 1)'!A47-'(FnCalls 1)'!A46)*0*0</f>
        <v>0</v>
      </c>
    </row>
    <row r="153" spans="1:8" ht="12.75" customHeight="1" x14ac:dyDescent="0.2">
      <c r="A153" s="134" t="str">
        <f>Labels!B260</f>
        <v>Location 2</v>
      </c>
      <c r="B153" s="145">
        <f>1/('(FnCalls 1)'!A41-'(FnCalls 1)'!A40)*0*0</f>
        <v>0</v>
      </c>
      <c r="C153" s="145">
        <f>1/('(FnCalls 1)'!A42-'(FnCalls 1)'!A41)*0*0</f>
        <v>0</v>
      </c>
      <c r="D153" s="145">
        <f>1/('(FnCalls 1)'!A43-'(FnCalls 1)'!A42)*0*0</f>
        <v>0</v>
      </c>
      <c r="E153" s="145">
        <f>1/('(FnCalls 1)'!A44-'(FnCalls 1)'!A43)*0*0</f>
        <v>0</v>
      </c>
      <c r="F153" s="145">
        <f>1/('(FnCalls 1)'!A45-'(FnCalls 1)'!A44)*0*0</f>
        <v>0</v>
      </c>
      <c r="G153" s="145">
        <f>1/('(FnCalls 1)'!A46-'(FnCalls 1)'!A45)*0*0</f>
        <v>0</v>
      </c>
      <c r="H153" s="226">
        <f>1/('(FnCalls 1)'!A47-'(FnCalls 1)'!A46)*0*0</f>
        <v>0</v>
      </c>
    </row>
    <row r="154" spans="1:8" ht="12.75" customHeight="1" x14ac:dyDescent="0.2">
      <c r="A154" s="91" t="str">
        <f>Labels!C258</f>
        <v>Total</v>
      </c>
      <c r="B154" s="149">
        <f t="shared" ref="B154:H154" si="41">SUM(B152:B153)</f>
        <v>0</v>
      </c>
      <c r="C154" s="149">
        <f t="shared" si="41"/>
        <v>0</v>
      </c>
      <c r="D154" s="149">
        <f t="shared" si="41"/>
        <v>0</v>
      </c>
      <c r="E154" s="149">
        <f t="shared" si="41"/>
        <v>0</v>
      </c>
      <c r="F154" s="149">
        <f t="shared" si="41"/>
        <v>0</v>
      </c>
      <c r="G154" s="149">
        <f t="shared" si="41"/>
        <v>0</v>
      </c>
      <c r="H154" s="227">
        <f t="shared" si="41"/>
        <v>0</v>
      </c>
    </row>
    <row r="155" spans="1:8" ht="12.75" customHeight="1" x14ac:dyDescent="0.2">
      <c r="A155" s="1" t="str">
        <f>"Chg_Accts_Pay_1"</f>
        <v>Chg_Accts_Pay_1</v>
      </c>
    </row>
    <row r="156" spans="1:8" ht="12.75" customHeight="1" x14ac:dyDescent="0.2">
      <c r="B156" s="10" t="str">
        <f>'(FnCalls 1)'!F41</f>
        <v>MMM 2011</v>
      </c>
      <c r="C156" s="11" t="str">
        <f>'(FnCalls 1)'!F42</f>
        <v>MMM 2011</v>
      </c>
      <c r="D156" s="11" t="str">
        <f>'(FnCalls 1)'!F43</f>
        <v>MMM 2011</v>
      </c>
      <c r="E156" s="11" t="str">
        <f>'(FnCalls 1)'!F44</f>
        <v>MMM 2011</v>
      </c>
      <c r="F156" s="11" t="str">
        <f>'(FnCalls 1)'!F45</f>
        <v>MMM 2011</v>
      </c>
      <c r="G156" s="12" t="str">
        <f>'(FnCalls 1)'!F46</f>
        <v>MMM 2011</v>
      </c>
    </row>
    <row r="157" spans="1:8" ht="12.75" customHeight="1" x14ac:dyDescent="0.2">
      <c r="A157" s="128" t="str">
        <f>Labels!B181</f>
        <v>Vendor Payables</v>
      </c>
      <c r="B157" s="141">
        <f>'(Tables)'!B303</f>
        <v>0</v>
      </c>
      <c r="C157" s="141">
        <f>Liab!C9</f>
        <v>0</v>
      </c>
      <c r="D157" s="141">
        <f>Liab!D9</f>
        <v>0</v>
      </c>
      <c r="E157" s="141">
        <f>Liab!E9</f>
        <v>0</v>
      </c>
      <c r="F157" s="141">
        <f>Liab!F9</f>
        <v>0</v>
      </c>
      <c r="G157" s="225">
        <f>Liab!G9</f>
        <v>0</v>
      </c>
    </row>
    <row r="158" spans="1:8" ht="12.75" customHeight="1" x14ac:dyDescent="0.2">
      <c r="A158" s="134" t="str">
        <f>Labels!B182</f>
        <v>Payroll Payables</v>
      </c>
      <c r="B158" s="145">
        <f>'(Tables)'!B304</f>
        <v>0</v>
      </c>
      <c r="C158" s="145">
        <f>Liab!C10</f>
        <v>0</v>
      </c>
      <c r="D158" s="145">
        <f>Liab!D10</f>
        <v>0</v>
      </c>
      <c r="E158" s="145">
        <f>Liab!E10</f>
        <v>0</v>
      </c>
      <c r="F158" s="145">
        <f>Liab!F10</f>
        <v>0</v>
      </c>
      <c r="G158" s="226">
        <f>Liab!G10</f>
        <v>0</v>
      </c>
    </row>
    <row r="159" spans="1:8" ht="12.75" customHeight="1" x14ac:dyDescent="0.2">
      <c r="A159" s="134" t="str">
        <f>Labels!B183</f>
        <v>Taxes Payable</v>
      </c>
      <c r="B159" s="145">
        <f>'(Tables)'!B305</f>
        <v>0</v>
      </c>
      <c r="C159" s="145">
        <f>Liab!C11</f>
        <v>0</v>
      </c>
      <c r="D159" s="145">
        <f>Liab!D11</f>
        <v>0</v>
      </c>
      <c r="E159" s="145">
        <f>Liab!E11</f>
        <v>0</v>
      </c>
      <c r="F159" s="145">
        <f>Liab!F11</f>
        <v>0</v>
      </c>
      <c r="G159" s="226">
        <f>Liab!G11</f>
        <v>0</v>
      </c>
    </row>
    <row r="160" spans="1:8" ht="12.75" customHeight="1" x14ac:dyDescent="0.2">
      <c r="A160" s="91" t="str">
        <f>Labels!C180</f>
        <v>Total</v>
      </c>
      <c r="B160" s="149">
        <f t="shared" ref="B160:G160" si="42">SUM(B157:B159)</f>
        <v>0</v>
      </c>
      <c r="C160" s="149">
        <f t="shared" si="42"/>
        <v>0</v>
      </c>
      <c r="D160" s="149">
        <f t="shared" si="42"/>
        <v>0</v>
      </c>
      <c r="E160" s="149">
        <f t="shared" si="42"/>
        <v>0</v>
      </c>
      <c r="F160" s="149">
        <f t="shared" si="42"/>
        <v>0</v>
      </c>
      <c r="G160" s="227">
        <f t="shared" si="42"/>
        <v>0</v>
      </c>
    </row>
    <row r="161" spans="1:8" ht="12.75" customHeight="1" x14ac:dyDescent="0.2">
      <c r="A161" s="1" t="str">
        <f>"Cash_No_Short_Debt_1"</f>
        <v>Cash_No_Short_Debt_1</v>
      </c>
    </row>
    <row r="162" spans="1:8" ht="12.75" customHeight="1" x14ac:dyDescent="0.2">
      <c r="B162" s="10" t="str">
        <f>'(FnCalls 1)'!F40</f>
        <v>MMM 2010</v>
      </c>
      <c r="C162" s="11" t="str">
        <f>'(FnCalls 1)'!F41</f>
        <v>MMM 2011</v>
      </c>
      <c r="D162" s="11" t="str">
        <f>'(FnCalls 1)'!F42</f>
        <v>MMM 2011</v>
      </c>
      <c r="E162" s="11" t="str">
        <f>'(FnCalls 1)'!F43</f>
        <v>MMM 2011</v>
      </c>
      <c r="F162" s="11" t="str">
        <f>'(FnCalls 1)'!F44</f>
        <v>MMM 2011</v>
      </c>
      <c r="G162" s="11" t="str">
        <f>'(FnCalls 1)'!F45</f>
        <v>MMM 2011</v>
      </c>
      <c r="H162" s="12" t="str">
        <f>'(FnCalls 1)'!F46</f>
        <v>MMM 2011</v>
      </c>
    </row>
    <row r="163" spans="1:8" ht="12.75" customHeight="1" x14ac:dyDescent="0.2">
      <c r="A163" s="91"/>
      <c r="B163" s="149">
        <f>0</f>
        <v>0</v>
      </c>
      <c r="C163" s="149">
        <f>0</f>
        <v>0</v>
      </c>
      <c r="D163" s="149">
        <f>0</f>
        <v>0</v>
      </c>
      <c r="E163" s="149">
        <f>0</f>
        <v>0</v>
      </c>
      <c r="F163" s="149">
        <f>0</f>
        <v>0</v>
      </c>
      <c r="G163" s="149">
        <f>0</f>
        <v>0</v>
      </c>
      <c r="H163" s="227">
        <f>0</f>
        <v>0</v>
      </c>
    </row>
    <row r="164" spans="1:8" ht="12.75" customHeight="1" x14ac:dyDescent="0.2">
      <c r="A164" s="1" t="str">
        <f>"Dir_Matl_U_Used_Prod_1"</f>
        <v>Dir_Matl_U_Used_Prod_1</v>
      </c>
    </row>
    <row r="165" spans="1:8" ht="12.75" customHeight="1" x14ac:dyDescent="0.2">
      <c r="B165" s="10" t="str">
        <f>'(FnCalls 1)'!F41</f>
        <v>MMM 2011</v>
      </c>
      <c r="C165" s="11" t="str">
        <f>'(FnCalls 1)'!F42</f>
        <v>MMM 2011</v>
      </c>
      <c r="D165" s="11" t="str">
        <f>'(FnCalls 1)'!F43</f>
        <v>MMM 2011</v>
      </c>
      <c r="E165" s="11" t="str">
        <f>'(FnCalls 1)'!F44</f>
        <v>MMM 2011</v>
      </c>
      <c r="F165" s="11" t="str">
        <f>'(FnCalls 1)'!F45</f>
        <v>MMM 2011</v>
      </c>
      <c r="G165" s="12" t="str">
        <f>'(FnCalls 1)'!F46</f>
        <v>MMM 2011</v>
      </c>
    </row>
    <row r="166" spans="1:8" ht="12.75" customHeight="1" x14ac:dyDescent="0.2">
      <c r="A166" s="128" t="str">
        <f>Labels!B255</f>
        <v>Product 1</v>
      </c>
      <c r="B166" s="169">
        <f>Inputs!E51*'Cogs GM'!B109+Inputs!E52*'Cogs GM'!B110</f>
        <v>0</v>
      </c>
      <c r="C166" s="169">
        <f>Inputs!F51*'Cogs GM'!C109+Inputs!F52*'Cogs GM'!C110</f>
        <v>0</v>
      </c>
      <c r="D166" s="169">
        <f>Inputs!G51*'Cogs GM'!D109+Inputs!G52*'Cogs GM'!D110</f>
        <v>0</v>
      </c>
      <c r="E166" s="169">
        <f>Inputs!H51*'Cogs GM'!E109+Inputs!H52*'Cogs GM'!E110</f>
        <v>0</v>
      </c>
      <c r="F166" s="169">
        <f>Inputs!I51*'Cogs GM'!F109+Inputs!I52*'Cogs GM'!F110</f>
        <v>0</v>
      </c>
      <c r="G166" s="228">
        <f>Inputs!J51*'Cogs GM'!G109+Inputs!J52*'Cogs GM'!G110</f>
        <v>0</v>
      </c>
    </row>
    <row r="167" spans="1:8" ht="12.75" customHeight="1" x14ac:dyDescent="0.2">
      <c r="A167" s="134" t="str">
        <f>Labels!B256</f>
        <v>Product 2</v>
      </c>
      <c r="B167" s="174">
        <f>Inputs!E51*'Cogs GM'!B109+Inputs!E52*'Cogs GM'!B110</f>
        <v>0</v>
      </c>
      <c r="C167" s="174">
        <f>Inputs!F51*'Cogs GM'!C109+Inputs!F52*'Cogs GM'!C110</f>
        <v>0</v>
      </c>
      <c r="D167" s="174">
        <f>Inputs!G51*'Cogs GM'!D109+Inputs!G52*'Cogs GM'!D110</f>
        <v>0</v>
      </c>
      <c r="E167" s="174">
        <f>Inputs!H51*'Cogs GM'!E109+Inputs!H52*'Cogs GM'!E110</f>
        <v>0</v>
      </c>
      <c r="F167" s="174">
        <f>Inputs!I51*'Cogs GM'!F109+Inputs!I52*'Cogs GM'!F110</f>
        <v>0</v>
      </c>
      <c r="G167" s="230">
        <f>Inputs!J51*'Cogs GM'!G109+Inputs!J52*'Cogs GM'!G110</f>
        <v>0</v>
      </c>
    </row>
    <row r="168" spans="1:8" ht="12.75" customHeight="1" x14ac:dyDescent="0.2">
      <c r="A168" s="91" t="str">
        <f>Labels!C254</f>
        <v>Total</v>
      </c>
      <c r="B168" s="231">
        <f t="shared" ref="B168:G168" si="43">SUM(B166:B167)</f>
        <v>0</v>
      </c>
      <c r="C168" s="231">
        <f t="shared" si="43"/>
        <v>0</v>
      </c>
      <c r="D168" s="231">
        <f t="shared" si="43"/>
        <v>0</v>
      </c>
      <c r="E168" s="231">
        <f t="shared" si="43"/>
        <v>0</v>
      </c>
      <c r="F168" s="231">
        <f t="shared" si="43"/>
        <v>0</v>
      </c>
      <c r="G168" s="232">
        <f t="shared" si="43"/>
        <v>0</v>
      </c>
    </row>
    <row r="169" spans="1:8" ht="12.75" customHeight="1" x14ac:dyDescent="0.2">
      <c r="A169" s="1" t="str">
        <f>"Inventory_Raw_Matl_U_1"</f>
        <v>Inventory_Raw_Matl_U_1</v>
      </c>
    </row>
    <row r="170" spans="1:8" ht="12.75" customHeight="1" x14ac:dyDescent="0.2">
      <c r="B170" s="10" t="str">
        <f>'(FnCalls 1)'!F40</f>
        <v>MMM 2010</v>
      </c>
      <c r="C170" s="11" t="str">
        <f>'(FnCalls 1)'!F41</f>
        <v>MMM 2011</v>
      </c>
      <c r="D170" s="11" t="str">
        <f>'(FnCalls 1)'!F42</f>
        <v>MMM 2011</v>
      </c>
      <c r="E170" s="11" t="str">
        <f>'(FnCalls 1)'!F43</f>
        <v>MMM 2011</v>
      </c>
      <c r="F170" s="11" t="str">
        <f>'(FnCalls 1)'!F44</f>
        <v>MMM 2011</v>
      </c>
      <c r="G170" s="11" t="str">
        <f>'(FnCalls 1)'!F45</f>
        <v>MMM 2011</v>
      </c>
      <c r="H170" s="12" t="str">
        <f>'(FnCalls 1)'!F46</f>
        <v>MMM 2011</v>
      </c>
    </row>
    <row r="171" spans="1:8" ht="12.75" customHeight="1" x14ac:dyDescent="0.2">
      <c r="A171" s="128" t="str">
        <f>Labels!B255</f>
        <v>Product 1</v>
      </c>
      <c r="B171" s="141"/>
      <c r="C171" s="141">
        <f>Inputs!E51*'Cogs GM'!B109+Inputs!E52*'Cogs GM'!B110</f>
        <v>0</v>
      </c>
      <c r="D171" s="141">
        <f>Inputs!F51*'Cogs GM'!C109+Inputs!F52*'Cogs GM'!C110</f>
        <v>0</v>
      </c>
      <c r="E171" s="141">
        <f>Inputs!G51*'Cogs GM'!D109+Inputs!G52*'Cogs GM'!D110</f>
        <v>0</v>
      </c>
      <c r="F171" s="141">
        <f>Inputs!H51*'Cogs GM'!E109+Inputs!H52*'Cogs GM'!E110</f>
        <v>0</v>
      </c>
      <c r="G171" s="141">
        <f>Inputs!I51*'Cogs GM'!F109+Inputs!I52*'Cogs GM'!F110</f>
        <v>0</v>
      </c>
      <c r="H171" s="225">
        <f>Inputs!J51*'Cogs GM'!G109+Inputs!J52*'Cogs GM'!G110</f>
        <v>0</v>
      </c>
    </row>
    <row r="172" spans="1:8" ht="12.75" customHeight="1" x14ac:dyDescent="0.2">
      <c r="A172" s="134" t="str">
        <f>Labels!B256</f>
        <v>Product 2</v>
      </c>
      <c r="B172" s="145"/>
      <c r="C172" s="145">
        <f>Inputs!E51*'Cogs GM'!B109+Inputs!E52*'Cogs GM'!B110</f>
        <v>0</v>
      </c>
      <c r="D172" s="145">
        <f>Inputs!F51*'Cogs GM'!C109+Inputs!F52*'Cogs GM'!C110</f>
        <v>0</v>
      </c>
      <c r="E172" s="145">
        <f>Inputs!G51*'Cogs GM'!D109+Inputs!G52*'Cogs GM'!D110</f>
        <v>0</v>
      </c>
      <c r="F172" s="145">
        <f>Inputs!H51*'Cogs GM'!E109+Inputs!H52*'Cogs GM'!E110</f>
        <v>0</v>
      </c>
      <c r="G172" s="145">
        <f>Inputs!I51*'Cogs GM'!F109+Inputs!I52*'Cogs GM'!F110</f>
        <v>0</v>
      </c>
      <c r="H172" s="226">
        <f>Inputs!J51*'Cogs GM'!G109+Inputs!J52*'Cogs GM'!G110</f>
        <v>0</v>
      </c>
    </row>
    <row r="173" spans="1:8" ht="12.75" customHeight="1" x14ac:dyDescent="0.2">
      <c r="A173" s="91" t="str">
        <f>Labels!C254</f>
        <v>Total</v>
      </c>
      <c r="B173" s="149">
        <f t="shared" ref="B173:H173" si="44">SUM(B171:B172)</f>
        <v>0</v>
      </c>
      <c r="C173" s="149">
        <f t="shared" si="44"/>
        <v>0</v>
      </c>
      <c r="D173" s="149">
        <f t="shared" si="44"/>
        <v>0</v>
      </c>
      <c r="E173" s="149">
        <f t="shared" si="44"/>
        <v>0</v>
      </c>
      <c r="F173" s="149">
        <f t="shared" si="44"/>
        <v>0</v>
      </c>
      <c r="G173" s="149">
        <f t="shared" si="44"/>
        <v>0</v>
      </c>
      <c r="H173" s="227">
        <f t="shared" si="44"/>
        <v>0</v>
      </c>
    </row>
    <row r="174" spans="1:8" ht="12.75" customHeight="1" x14ac:dyDescent="0.2">
      <c r="A174" s="1" t="str">
        <f>"Chg_Inventory_1"</f>
        <v>Chg_Inventory_1</v>
      </c>
    </row>
    <row r="175" spans="1:8" ht="12.75" customHeight="1" x14ac:dyDescent="0.2">
      <c r="B175" s="10" t="str">
        <f>'(FnCalls 1)'!F41</f>
        <v>MMM 2011</v>
      </c>
      <c r="C175" s="11" t="str">
        <f>'(FnCalls 1)'!F42</f>
        <v>MMM 2011</v>
      </c>
      <c r="D175" s="11" t="str">
        <f>'(FnCalls 1)'!F43</f>
        <v>MMM 2011</v>
      </c>
      <c r="E175" s="11" t="str">
        <f>'(FnCalls 1)'!F44</f>
        <v>MMM 2011</v>
      </c>
      <c r="F175" s="11" t="str">
        <f>'(FnCalls 1)'!F45</f>
        <v>MMM 2011</v>
      </c>
      <c r="G175" s="12" t="str">
        <f>'(FnCalls 1)'!F46</f>
        <v>MMM 2011</v>
      </c>
    </row>
    <row r="176" spans="1:8" ht="12.75" customHeight="1" x14ac:dyDescent="0.2">
      <c r="A176" s="128" t="str">
        <f>Labels!B255</f>
        <v>Product 1</v>
      </c>
      <c r="B176" s="141">
        <f>'(Tables)'!B342</f>
        <v>0</v>
      </c>
      <c r="C176" s="141">
        <f>Assets!C23</f>
        <v>0</v>
      </c>
      <c r="D176" s="141">
        <f>Assets!D23</f>
        <v>0</v>
      </c>
      <c r="E176" s="141">
        <f>Assets!E23</f>
        <v>0</v>
      </c>
      <c r="F176" s="141">
        <f>Assets!F23</f>
        <v>0</v>
      </c>
      <c r="G176" s="225">
        <f>Assets!G23</f>
        <v>0</v>
      </c>
    </row>
    <row r="177" spans="1:7" ht="12.75" customHeight="1" x14ac:dyDescent="0.2">
      <c r="A177" s="134" t="str">
        <f>Labels!B256</f>
        <v>Product 2</v>
      </c>
      <c r="B177" s="145">
        <f>'(Tables)'!B343</f>
        <v>0</v>
      </c>
      <c r="C177" s="145">
        <f>Assets!C27</f>
        <v>0</v>
      </c>
      <c r="D177" s="145">
        <f>Assets!D27</f>
        <v>0</v>
      </c>
      <c r="E177" s="145">
        <f>Assets!E27</f>
        <v>0</v>
      </c>
      <c r="F177" s="145">
        <f>Assets!F27</f>
        <v>0</v>
      </c>
      <c r="G177" s="226">
        <f>Assets!G27</f>
        <v>0</v>
      </c>
    </row>
    <row r="178" spans="1:7" ht="12.75" customHeight="1" x14ac:dyDescent="0.2">
      <c r="A178" s="91" t="str">
        <f>Labels!C254</f>
        <v>Total</v>
      </c>
      <c r="B178" s="149">
        <f t="shared" ref="B178:G178" si="45">SUM(B176:B177)</f>
        <v>0</v>
      </c>
      <c r="C178" s="149">
        <f t="shared" si="45"/>
        <v>0</v>
      </c>
      <c r="D178" s="149">
        <f t="shared" si="45"/>
        <v>0</v>
      </c>
      <c r="E178" s="149">
        <f t="shared" si="45"/>
        <v>0</v>
      </c>
      <c r="F178" s="149">
        <f t="shared" si="45"/>
        <v>0</v>
      </c>
      <c r="G178" s="227">
        <f t="shared" si="45"/>
        <v>0</v>
      </c>
    </row>
    <row r="179" spans="1:7" ht="12.75" customHeight="1" x14ac:dyDescent="0.2">
      <c r="A179" s="1" t="str">
        <f>"Chg_Inventory_2"</f>
        <v>Chg_Inventory_2</v>
      </c>
    </row>
    <row r="180" spans="1:7" ht="12.75" customHeight="1" x14ac:dyDescent="0.2">
      <c r="B180" s="10" t="str">
        <f>'(FnCalls 1)'!F41</f>
        <v>MMM 2011</v>
      </c>
      <c r="C180" s="11" t="str">
        <f>'(FnCalls 1)'!F42</f>
        <v>MMM 2011</v>
      </c>
      <c r="D180" s="11" t="str">
        <f>'(FnCalls 1)'!F43</f>
        <v>MMM 2011</v>
      </c>
      <c r="E180" s="11" t="str">
        <f>'(FnCalls 1)'!F44</f>
        <v>MMM 2011</v>
      </c>
      <c r="F180" s="11" t="str">
        <f>'(FnCalls 1)'!F45</f>
        <v>MMM 2011</v>
      </c>
      <c r="G180" s="12" t="str">
        <f>'(FnCalls 1)'!F46</f>
        <v>MMM 2011</v>
      </c>
    </row>
    <row r="181" spans="1:7" ht="12.75" customHeight="1" x14ac:dyDescent="0.2">
      <c r="A181" s="91"/>
      <c r="B181" s="149">
        <f>'(Tables)'!B347</f>
        <v>0</v>
      </c>
      <c r="C181" s="149">
        <f>Assets!C15</f>
        <v>0</v>
      </c>
      <c r="D181" s="149">
        <f>Assets!D15</f>
        <v>0</v>
      </c>
      <c r="E181" s="149">
        <f>Assets!E15</f>
        <v>0</v>
      </c>
      <c r="F181" s="149">
        <f>Assets!F15</f>
        <v>0</v>
      </c>
      <c r="G181" s="227">
        <f>Assets!G15</f>
        <v>0</v>
      </c>
    </row>
    <row r="182" spans="1:7" ht="12.75" customHeight="1" x14ac:dyDescent="0.2">
      <c r="A182" s="1" t="str">
        <f>"Cash_Flow_Oper_1"</f>
        <v>Cash_Flow_Oper_1</v>
      </c>
    </row>
    <row r="183" spans="1:7" ht="12.75" customHeight="1" x14ac:dyDescent="0.2">
      <c r="B183" s="10" t="str">
        <f>'(FnCalls 1)'!F41</f>
        <v>MMM 2011</v>
      </c>
      <c r="C183" s="11" t="str">
        <f>'(FnCalls 1)'!F42</f>
        <v>MMM 2011</v>
      </c>
      <c r="D183" s="11" t="str">
        <f>'(FnCalls 1)'!F43</f>
        <v>MMM 2011</v>
      </c>
      <c r="E183" s="11" t="str">
        <f>'(FnCalls 1)'!F44</f>
        <v>MMM 2011</v>
      </c>
      <c r="F183" s="11" t="str">
        <f>'(FnCalls 1)'!F45</f>
        <v>MMM 2011</v>
      </c>
      <c r="G183" s="12" t="str">
        <f>'(FnCalls 1)'!F46</f>
        <v>MMM 2011</v>
      </c>
    </row>
    <row r="184" spans="1:7" ht="12.75" customHeight="1" x14ac:dyDescent="0.2">
      <c r="A184" s="91"/>
      <c r="B184" s="149">
        <f>0</f>
        <v>0</v>
      </c>
      <c r="C184" s="149">
        <f>0</f>
        <v>0</v>
      </c>
      <c r="D184" s="149">
        <f>0</f>
        <v>0</v>
      </c>
      <c r="E184" s="149">
        <f>0</f>
        <v>0</v>
      </c>
      <c r="F184" s="149">
        <f>0</f>
        <v>0</v>
      </c>
      <c r="G184" s="227">
        <f>0</f>
        <v>0</v>
      </c>
    </row>
    <row r="185" spans="1:7" ht="12.75" customHeight="1" x14ac:dyDescent="0.2">
      <c r="A185" s="1" t="str">
        <f>"Revenue_Prod_1"</f>
        <v>Revenue_Prod_1</v>
      </c>
    </row>
    <row r="186" spans="1:7" ht="12.75" customHeight="1" x14ac:dyDescent="0.2">
      <c r="B186" s="10" t="str">
        <f>'(FnCalls 1)'!F41</f>
        <v>MMM 2011</v>
      </c>
      <c r="C186" s="11" t="str">
        <f>'(FnCalls 1)'!F42</f>
        <v>MMM 2011</v>
      </c>
      <c r="D186" s="11" t="str">
        <f>'(FnCalls 1)'!F43</f>
        <v>MMM 2011</v>
      </c>
      <c r="E186" s="11" t="str">
        <f>'(FnCalls 1)'!F44</f>
        <v>MMM 2011</v>
      </c>
      <c r="F186" s="11" t="str">
        <f>'(FnCalls 1)'!F45</f>
        <v>MMM 2011</v>
      </c>
      <c r="G186" s="12" t="str">
        <f>'(FnCalls 1)'!F46</f>
        <v>MMM 2011</v>
      </c>
    </row>
    <row r="187" spans="1:7" ht="12.75" customHeight="1" x14ac:dyDescent="0.2">
      <c r="A187" s="91"/>
      <c r="B187" s="210">
        <f>'(FnCalls 1)'!A41</f>
        <v>40544</v>
      </c>
      <c r="C187" s="210">
        <f>'(FnCalls 1)'!A42</f>
        <v>40575</v>
      </c>
      <c r="D187" s="210">
        <f>'(FnCalls 1)'!A43</f>
        <v>40603</v>
      </c>
      <c r="E187" s="210">
        <f>'(FnCalls 1)'!A44</f>
        <v>40634</v>
      </c>
      <c r="F187" s="210">
        <f>'(FnCalls 1)'!A45</f>
        <v>40664</v>
      </c>
      <c r="G187" s="248">
        <f>'(FnCalls 1)'!A46</f>
        <v>40695</v>
      </c>
    </row>
    <row r="188" spans="1:7" ht="12.75" customHeight="1" x14ac:dyDescent="0.2">
      <c r="A188" s="1" t="str">
        <f>"Revenue_Prod_2"</f>
        <v>Revenue_Prod_2</v>
      </c>
    </row>
    <row r="189" spans="1:7" ht="12.75" customHeight="1" x14ac:dyDescent="0.2">
      <c r="B189" s="10" t="str">
        <f>'(FnCalls 1)'!F41</f>
        <v>MMM 2011</v>
      </c>
      <c r="C189" s="11" t="str">
        <f>'(FnCalls 1)'!F42</f>
        <v>MMM 2011</v>
      </c>
      <c r="D189" s="11" t="str">
        <f>'(FnCalls 1)'!F43</f>
        <v>MMM 2011</v>
      </c>
      <c r="E189" s="11" t="str">
        <f>'(FnCalls 1)'!F44</f>
        <v>MMM 2011</v>
      </c>
      <c r="F189" s="11" t="str">
        <f>'(FnCalls 1)'!F45</f>
        <v>MMM 2011</v>
      </c>
      <c r="G189" s="12" t="str">
        <f>'(FnCalls 1)'!F46</f>
        <v>MMM 2011</v>
      </c>
    </row>
    <row r="190" spans="1:7" ht="12.75" customHeight="1" x14ac:dyDescent="0.2">
      <c r="A190" s="91"/>
      <c r="B190" s="210" t="str">
        <f>'(FnCalls 1)'!F41</f>
        <v>MMM 2011</v>
      </c>
      <c r="C190" s="210" t="str">
        <f>'(FnCalls 1)'!F42</f>
        <v>MMM 2011</v>
      </c>
      <c r="D190" s="210" t="str">
        <f>'(FnCalls 1)'!F43</f>
        <v>MMM 2011</v>
      </c>
      <c r="E190" s="210" t="str">
        <f>'(FnCalls 1)'!F44</f>
        <v>MMM 2011</v>
      </c>
      <c r="F190" s="210" t="str">
        <f>'(FnCalls 1)'!F45</f>
        <v>MMM 2011</v>
      </c>
      <c r="G190" s="248" t="str">
        <f>'(FnCalls 1)'!F46</f>
        <v>MMM 2011</v>
      </c>
    </row>
    <row r="191" spans="1:7" ht="12.75" customHeight="1" x14ac:dyDescent="0.2">
      <c r="A191" s="1" t="str">
        <f>"Employee_Count1_K_off_1"</f>
        <v>Employee_Count1_K_off_1</v>
      </c>
    </row>
    <row r="192" spans="1:7" ht="12.75" customHeight="1" x14ac:dyDescent="0.2">
      <c r="B192" s="10" t="str">
        <f>'(FnCalls 1)'!F41</f>
        <v>MMM 2011</v>
      </c>
      <c r="C192" s="11" t="str">
        <f>'(FnCalls 1)'!F42</f>
        <v>MMM 2011</v>
      </c>
      <c r="D192" s="11" t="str">
        <f>'(FnCalls 1)'!F43</f>
        <v>MMM 2011</v>
      </c>
      <c r="E192" s="11" t="str">
        <f>'(FnCalls 1)'!F44</f>
        <v>MMM 2011</v>
      </c>
      <c r="F192" s="11" t="str">
        <f>'(FnCalls 1)'!F45</f>
        <v>MMM 2011</v>
      </c>
      <c r="G192" s="12" t="str">
        <f>'(FnCalls 1)'!F46</f>
        <v>MMM 2011</v>
      </c>
    </row>
    <row r="193" spans="1:7" ht="12.75" customHeight="1" x14ac:dyDescent="0.2">
      <c r="A193" s="91"/>
      <c r="B193" s="210">
        <f>'(FnCalls 1)'!A41</f>
        <v>40544</v>
      </c>
      <c r="C193" s="210">
        <f>'(FnCalls 1)'!A42</f>
        <v>40575</v>
      </c>
      <c r="D193" s="210">
        <f>'(FnCalls 1)'!A43</f>
        <v>40603</v>
      </c>
      <c r="E193" s="210">
        <f>'(FnCalls 1)'!A44</f>
        <v>40634</v>
      </c>
      <c r="F193" s="210">
        <f>'(FnCalls 1)'!A45</f>
        <v>40664</v>
      </c>
      <c r="G193" s="248">
        <f>'(FnCalls 1)'!A46</f>
        <v>40695</v>
      </c>
    </row>
    <row r="194" spans="1:7" ht="12.75" customHeight="1" x14ac:dyDescent="0.2">
      <c r="A194" s="1" t="str">
        <f>"Employee_Count1_K_off_2"</f>
        <v>Employee_Count1_K_off_2</v>
      </c>
    </row>
    <row r="195" spans="1:7" ht="12.75" customHeight="1" x14ac:dyDescent="0.2">
      <c r="B195" s="10" t="str">
        <f>'(FnCalls 1)'!F41</f>
        <v>MMM 2011</v>
      </c>
      <c r="C195" s="11" t="str">
        <f>'(FnCalls 1)'!F42</f>
        <v>MMM 2011</v>
      </c>
      <c r="D195" s="11" t="str">
        <f>'(FnCalls 1)'!F43</f>
        <v>MMM 2011</v>
      </c>
      <c r="E195" s="11" t="str">
        <f>'(FnCalls 1)'!F44</f>
        <v>MMM 2011</v>
      </c>
      <c r="F195" s="11" t="str">
        <f>'(FnCalls 1)'!F45</f>
        <v>MMM 2011</v>
      </c>
      <c r="G195" s="12" t="str">
        <f>'(FnCalls 1)'!F46</f>
        <v>MMM 2011</v>
      </c>
    </row>
    <row r="196" spans="1:7" ht="12.75" customHeight="1" x14ac:dyDescent="0.2">
      <c r="A196" s="91"/>
      <c r="B196" s="210" t="str">
        <f>'(FnCalls 1)'!F41</f>
        <v>MMM 2011</v>
      </c>
      <c r="C196" s="210" t="str">
        <f>'(FnCalls 1)'!F42</f>
        <v>MMM 2011</v>
      </c>
      <c r="D196" s="210" t="str">
        <f>'(FnCalls 1)'!F43</f>
        <v>MMM 2011</v>
      </c>
      <c r="E196" s="210" t="str">
        <f>'(FnCalls 1)'!F44</f>
        <v>MMM 2011</v>
      </c>
      <c r="F196" s="210" t="str">
        <f>'(FnCalls 1)'!F45</f>
        <v>MMM 2011</v>
      </c>
      <c r="G196" s="248" t="str">
        <f>'(FnCalls 1)'!F46</f>
        <v>MMM 2011</v>
      </c>
    </row>
    <row r="197" spans="1:7" ht="12.75" customHeight="1" x14ac:dyDescent="0.2">
      <c r="A197" s="1" t="str">
        <f>"Revenue_Orders_1"</f>
        <v>Revenue_Orders_1</v>
      </c>
    </row>
    <row r="198" spans="1:7" ht="12.75" customHeight="1" x14ac:dyDescent="0.2">
      <c r="B198" s="10" t="str">
        <f>'(FnCalls 1)'!F41</f>
        <v>MMM 2011</v>
      </c>
      <c r="C198" s="11" t="str">
        <f>'(FnCalls 1)'!F42</f>
        <v>MMM 2011</v>
      </c>
      <c r="D198" s="11" t="str">
        <f>'(FnCalls 1)'!F43</f>
        <v>MMM 2011</v>
      </c>
      <c r="E198" s="11" t="str">
        <f>'(FnCalls 1)'!F44</f>
        <v>MMM 2011</v>
      </c>
      <c r="F198" s="11" t="str">
        <f>'(FnCalls 1)'!F45</f>
        <v>MMM 2011</v>
      </c>
      <c r="G198" s="12" t="str">
        <f>'(FnCalls 1)'!F46</f>
        <v>MMM 2011</v>
      </c>
    </row>
    <row r="199" spans="1:7" ht="12.75" customHeight="1" x14ac:dyDescent="0.2">
      <c r="A199" s="91"/>
      <c r="B199" s="210">
        <f>'(FnCalls 1)'!A41</f>
        <v>40544</v>
      </c>
      <c r="C199" s="210">
        <f>'(FnCalls 1)'!A42</f>
        <v>40575</v>
      </c>
      <c r="D199" s="210">
        <f>'(FnCalls 1)'!A43</f>
        <v>40603</v>
      </c>
      <c r="E199" s="210">
        <f>'(FnCalls 1)'!A44</f>
        <v>40634</v>
      </c>
      <c r="F199" s="210">
        <f>'(FnCalls 1)'!A45</f>
        <v>40664</v>
      </c>
      <c r="G199" s="248">
        <f>'(FnCalls 1)'!A46</f>
        <v>40695</v>
      </c>
    </row>
    <row r="200" spans="1:7" ht="12.75" customHeight="1" x14ac:dyDescent="0.2">
      <c r="A200" s="1" t="str">
        <f>"Revenue_Orders_2"</f>
        <v>Revenue_Orders_2</v>
      </c>
    </row>
    <row r="201" spans="1:7" ht="12.75" customHeight="1" x14ac:dyDescent="0.2">
      <c r="B201" s="10" t="str">
        <f>'(FnCalls 1)'!F41</f>
        <v>MMM 2011</v>
      </c>
      <c r="C201" s="11" t="str">
        <f>'(FnCalls 1)'!F42</f>
        <v>MMM 2011</v>
      </c>
      <c r="D201" s="11" t="str">
        <f>'(FnCalls 1)'!F43</f>
        <v>MMM 2011</v>
      </c>
      <c r="E201" s="11" t="str">
        <f>'(FnCalls 1)'!F44</f>
        <v>MMM 2011</v>
      </c>
      <c r="F201" s="11" t="str">
        <f>'(FnCalls 1)'!F45</f>
        <v>MMM 2011</v>
      </c>
      <c r="G201" s="12" t="str">
        <f>'(FnCalls 1)'!F46</f>
        <v>MMM 2011</v>
      </c>
    </row>
    <row r="202" spans="1:7" ht="12.75" customHeight="1" x14ac:dyDescent="0.2">
      <c r="A202" s="91"/>
      <c r="B202" s="210" t="str">
        <f>'(FnCalls 1)'!F41</f>
        <v>MMM 2011</v>
      </c>
      <c r="C202" s="210" t="str">
        <f>'(FnCalls 1)'!F42</f>
        <v>MMM 2011</v>
      </c>
      <c r="D202" s="210" t="str">
        <f>'(FnCalls 1)'!F43</f>
        <v>MMM 2011</v>
      </c>
      <c r="E202" s="210" t="str">
        <f>'(FnCalls 1)'!F44</f>
        <v>MMM 2011</v>
      </c>
      <c r="F202" s="210" t="str">
        <f>'(FnCalls 1)'!F45</f>
        <v>MMM 2011</v>
      </c>
      <c r="G202" s="248" t="str">
        <f>'(FnCalls 1)'!F46</f>
        <v>MMM 2011</v>
      </c>
    </row>
    <row r="203" spans="1:7" ht="12.75" customHeight="1" x14ac:dyDescent="0.2">
      <c r="A203" s="1" t="str">
        <f>"Revenue_1"</f>
        <v>Revenue_1</v>
      </c>
    </row>
    <row r="204" spans="1:7" ht="12.75" customHeight="1" x14ac:dyDescent="0.2">
      <c r="B204" s="10" t="str">
        <f>'(FnCalls 1)'!F41</f>
        <v>MMM 2011</v>
      </c>
      <c r="C204" s="11" t="str">
        <f>'(FnCalls 1)'!F42</f>
        <v>MMM 2011</v>
      </c>
      <c r="D204" s="11" t="str">
        <f>'(FnCalls 1)'!F43</f>
        <v>MMM 2011</v>
      </c>
      <c r="E204" s="11" t="str">
        <f>'(FnCalls 1)'!F44</f>
        <v>MMM 2011</v>
      </c>
      <c r="F204" s="11" t="str">
        <f>'(FnCalls 1)'!F45</f>
        <v>MMM 2011</v>
      </c>
      <c r="G204" s="12" t="str">
        <f>'(FnCalls 1)'!F46</f>
        <v>MMM 2011</v>
      </c>
    </row>
    <row r="205" spans="1:7" ht="12.75" customHeight="1" x14ac:dyDescent="0.2">
      <c r="A205" s="91"/>
      <c r="B205" s="210">
        <f>'(FnCalls 1)'!A41</f>
        <v>40544</v>
      </c>
      <c r="C205" s="210">
        <f>'(FnCalls 1)'!A42</f>
        <v>40575</v>
      </c>
      <c r="D205" s="210">
        <f>'(FnCalls 1)'!A43</f>
        <v>40603</v>
      </c>
      <c r="E205" s="210">
        <f>'(FnCalls 1)'!A44</f>
        <v>40634</v>
      </c>
      <c r="F205" s="210">
        <f>'(FnCalls 1)'!A45</f>
        <v>40664</v>
      </c>
      <c r="G205" s="248">
        <f>'(FnCalls 1)'!A46</f>
        <v>40695</v>
      </c>
    </row>
    <row r="206" spans="1:7" ht="12.75" customHeight="1" x14ac:dyDescent="0.2">
      <c r="A206" s="1" t="str">
        <f>"Revenue_2"</f>
        <v>Revenue_2</v>
      </c>
    </row>
    <row r="207" spans="1:7" ht="12.75" customHeight="1" x14ac:dyDescent="0.2">
      <c r="B207" s="10" t="str">
        <f>'(FnCalls 1)'!F41</f>
        <v>MMM 2011</v>
      </c>
      <c r="C207" s="11" t="str">
        <f>'(FnCalls 1)'!F42</f>
        <v>MMM 2011</v>
      </c>
      <c r="D207" s="11" t="str">
        <f>'(FnCalls 1)'!F43</f>
        <v>MMM 2011</v>
      </c>
      <c r="E207" s="11" t="str">
        <f>'(FnCalls 1)'!F44</f>
        <v>MMM 2011</v>
      </c>
      <c r="F207" s="11" t="str">
        <f>'(FnCalls 1)'!F45</f>
        <v>MMM 2011</v>
      </c>
      <c r="G207" s="12" t="str">
        <f>'(FnCalls 1)'!F46</f>
        <v>MMM 2011</v>
      </c>
    </row>
    <row r="208" spans="1:7" ht="12.75" customHeight="1" x14ac:dyDescent="0.2">
      <c r="A208" s="91"/>
      <c r="B208" s="210" t="str">
        <f>'(FnCalls 1)'!F41</f>
        <v>MMM 2011</v>
      </c>
      <c r="C208" s="210" t="str">
        <f>'(FnCalls 1)'!F42</f>
        <v>MMM 2011</v>
      </c>
      <c r="D208" s="210" t="str">
        <f>'(FnCalls 1)'!F43</f>
        <v>MMM 2011</v>
      </c>
      <c r="E208" s="210" t="str">
        <f>'(FnCalls 1)'!F44</f>
        <v>MMM 2011</v>
      </c>
      <c r="F208" s="210" t="str">
        <f>'(FnCalls 1)'!F45</f>
        <v>MMM 2011</v>
      </c>
      <c r="G208" s="248" t="str">
        <f>'(FnCalls 1)'!F46</f>
        <v>MMM 2011</v>
      </c>
    </row>
    <row r="209" spans="1:7" ht="12.75" customHeight="1" x14ac:dyDescent="0.2">
      <c r="A209" s="1" t="str">
        <f>"Employee_Count_1"</f>
        <v>Employee_Count_1</v>
      </c>
    </row>
    <row r="210" spans="1:7" ht="12.75" customHeight="1" x14ac:dyDescent="0.2">
      <c r="B210" s="10" t="str">
        <f>'(FnCalls 1)'!F41</f>
        <v>MMM 2011</v>
      </c>
      <c r="C210" s="11" t="str">
        <f>'(FnCalls 1)'!F42</f>
        <v>MMM 2011</v>
      </c>
      <c r="D210" s="11" t="str">
        <f>'(FnCalls 1)'!F43</f>
        <v>MMM 2011</v>
      </c>
      <c r="E210" s="11" t="str">
        <f>'(FnCalls 1)'!F44</f>
        <v>MMM 2011</v>
      </c>
      <c r="F210" s="11" t="str">
        <f>'(FnCalls 1)'!F45</f>
        <v>MMM 2011</v>
      </c>
      <c r="G210" s="12" t="str">
        <f>'(FnCalls 1)'!F46</f>
        <v>MMM 2011</v>
      </c>
    </row>
    <row r="211" spans="1:7" ht="12.75" customHeight="1" x14ac:dyDescent="0.2">
      <c r="A211" s="91"/>
      <c r="B211" s="210">
        <f>'(FnCalls 1)'!A41</f>
        <v>40544</v>
      </c>
      <c r="C211" s="210">
        <f>'(FnCalls 1)'!A42</f>
        <v>40575</v>
      </c>
      <c r="D211" s="210">
        <f>'(FnCalls 1)'!A43</f>
        <v>40603</v>
      </c>
      <c r="E211" s="210">
        <f>'(FnCalls 1)'!A44</f>
        <v>40634</v>
      </c>
      <c r="F211" s="210">
        <f>'(FnCalls 1)'!A45</f>
        <v>40664</v>
      </c>
      <c r="G211" s="248">
        <f>'(FnCalls 1)'!A46</f>
        <v>40695</v>
      </c>
    </row>
    <row r="212" spans="1:7" ht="12.75" customHeight="1" x14ac:dyDescent="0.2">
      <c r="A212" s="1" t="str">
        <f>"Employee_Count_2"</f>
        <v>Employee_Count_2</v>
      </c>
    </row>
    <row r="213" spans="1:7" ht="12.75" customHeight="1" x14ac:dyDescent="0.2">
      <c r="B213" s="10" t="str">
        <f>'(FnCalls 1)'!F41</f>
        <v>MMM 2011</v>
      </c>
      <c r="C213" s="11" t="str">
        <f>'(FnCalls 1)'!F42</f>
        <v>MMM 2011</v>
      </c>
      <c r="D213" s="11" t="str">
        <f>'(FnCalls 1)'!F43</f>
        <v>MMM 2011</v>
      </c>
      <c r="E213" s="11" t="str">
        <f>'(FnCalls 1)'!F44</f>
        <v>MMM 2011</v>
      </c>
      <c r="F213" s="11" t="str">
        <f>'(FnCalls 1)'!F45</f>
        <v>MMM 2011</v>
      </c>
      <c r="G213" s="12" t="str">
        <f>'(FnCalls 1)'!F46</f>
        <v>MMM 2011</v>
      </c>
    </row>
    <row r="214" spans="1:7" ht="12.75" customHeight="1" x14ac:dyDescent="0.2">
      <c r="A214" s="91"/>
      <c r="B214" s="210" t="str">
        <f>'(FnCalls 1)'!F41</f>
        <v>MMM 2011</v>
      </c>
      <c r="C214" s="210" t="str">
        <f>'(FnCalls 1)'!F42</f>
        <v>MMM 2011</v>
      </c>
      <c r="D214" s="210" t="str">
        <f>'(FnCalls 1)'!F43</f>
        <v>MMM 2011</v>
      </c>
      <c r="E214" s="210" t="str">
        <f>'(FnCalls 1)'!F44</f>
        <v>MMM 2011</v>
      </c>
      <c r="F214" s="210" t="str">
        <f>'(FnCalls 1)'!F45</f>
        <v>MMM 2011</v>
      </c>
      <c r="G214" s="248" t="str">
        <f>'(FnCalls 1)'!F46</f>
        <v>MMM 2011</v>
      </c>
    </row>
    <row r="215" spans="1:7" ht="12.75" customHeight="1" x14ac:dyDescent="0.2">
      <c r="A215" s="1" t="str">
        <f>"Operating_Exp_1"</f>
        <v>Operating_Exp_1</v>
      </c>
    </row>
    <row r="216" spans="1:7" ht="12.75" customHeight="1" x14ac:dyDescent="0.2">
      <c r="B216" s="10" t="str">
        <f>'(FnCalls 1)'!F41</f>
        <v>MMM 2011</v>
      </c>
      <c r="C216" s="11" t="str">
        <f>'(FnCalls 1)'!F42</f>
        <v>MMM 2011</v>
      </c>
      <c r="D216" s="11" t="str">
        <f>'(FnCalls 1)'!F43</f>
        <v>MMM 2011</v>
      </c>
      <c r="E216" s="11" t="str">
        <f>'(FnCalls 1)'!F44</f>
        <v>MMM 2011</v>
      </c>
      <c r="F216" s="11" t="str">
        <f>'(FnCalls 1)'!F45</f>
        <v>MMM 2011</v>
      </c>
      <c r="G216" s="12" t="str">
        <f>'(FnCalls 1)'!F46</f>
        <v>MMM 2011</v>
      </c>
    </row>
    <row r="217" spans="1:7" ht="12.75" customHeight="1" x14ac:dyDescent="0.2">
      <c r="A217" s="91"/>
      <c r="B217" s="210">
        <f>'(FnCalls 1)'!A41</f>
        <v>40544</v>
      </c>
      <c r="C217" s="210">
        <f>'(FnCalls 1)'!A42</f>
        <v>40575</v>
      </c>
      <c r="D217" s="210">
        <f>'(FnCalls 1)'!A43</f>
        <v>40603</v>
      </c>
      <c r="E217" s="210">
        <f>'(FnCalls 1)'!A44</f>
        <v>40634</v>
      </c>
      <c r="F217" s="210">
        <f>'(FnCalls 1)'!A45</f>
        <v>40664</v>
      </c>
      <c r="G217" s="248">
        <f>'(FnCalls 1)'!A46</f>
        <v>40695</v>
      </c>
    </row>
    <row r="218" spans="1:7" ht="12.75" customHeight="1" x14ac:dyDescent="0.2">
      <c r="A218" s="1" t="str">
        <f>"Operating_Exp_2"</f>
        <v>Operating_Exp_2</v>
      </c>
    </row>
    <row r="219" spans="1:7" ht="12.75" customHeight="1" x14ac:dyDescent="0.2">
      <c r="B219" s="10" t="str">
        <f>'(FnCalls 1)'!F41</f>
        <v>MMM 2011</v>
      </c>
      <c r="C219" s="11" t="str">
        <f>'(FnCalls 1)'!F42</f>
        <v>MMM 2011</v>
      </c>
      <c r="D219" s="11" t="str">
        <f>'(FnCalls 1)'!F43</f>
        <v>MMM 2011</v>
      </c>
      <c r="E219" s="11" t="str">
        <f>'(FnCalls 1)'!F44</f>
        <v>MMM 2011</v>
      </c>
      <c r="F219" s="11" t="str">
        <f>'(FnCalls 1)'!F45</f>
        <v>MMM 2011</v>
      </c>
      <c r="G219" s="12" t="str">
        <f>'(FnCalls 1)'!F46</f>
        <v>MMM 2011</v>
      </c>
    </row>
    <row r="220" spans="1:7" ht="12.75" customHeight="1" x14ac:dyDescent="0.2">
      <c r="A220" s="91"/>
      <c r="B220" s="210" t="str">
        <f>'(FnCalls 1)'!F41</f>
        <v>MMM 2011</v>
      </c>
      <c r="C220" s="210" t="str">
        <f>'(FnCalls 1)'!F42</f>
        <v>MMM 2011</v>
      </c>
      <c r="D220" s="210" t="str">
        <f>'(FnCalls 1)'!F43</f>
        <v>MMM 2011</v>
      </c>
      <c r="E220" s="210" t="str">
        <f>'(FnCalls 1)'!F44</f>
        <v>MMM 2011</v>
      </c>
      <c r="F220" s="210" t="str">
        <f>'(FnCalls 1)'!F45</f>
        <v>MMM 2011</v>
      </c>
      <c r="G220" s="248" t="str">
        <f>'(FnCalls 1)'!F46</f>
        <v>MMM 2011</v>
      </c>
    </row>
    <row r="221" spans="1:7" ht="12.75" customHeight="1" x14ac:dyDescent="0.2">
      <c r="A221" s="1" t="str">
        <f>"Operating_Margin_1"</f>
        <v>Operating_Margin_1</v>
      </c>
    </row>
    <row r="222" spans="1:7" ht="12.75" customHeight="1" x14ac:dyDescent="0.2">
      <c r="B222" s="10" t="str">
        <f>'(FnCalls 1)'!F41</f>
        <v>MMM 2011</v>
      </c>
      <c r="C222" s="11" t="str">
        <f>'(FnCalls 1)'!F42</f>
        <v>MMM 2011</v>
      </c>
      <c r="D222" s="11" t="str">
        <f>'(FnCalls 1)'!F43</f>
        <v>MMM 2011</v>
      </c>
      <c r="E222" s="11" t="str">
        <f>'(FnCalls 1)'!F44</f>
        <v>MMM 2011</v>
      </c>
      <c r="F222" s="11" t="str">
        <f>'(FnCalls 1)'!F45</f>
        <v>MMM 2011</v>
      </c>
      <c r="G222" s="12" t="str">
        <f>'(FnCalls 1)'!F46</f>
        <v>MMM 2011</v>
      </c>
    </row>
    <row r="223" spans="1:7" ht="12.75" customHeight="1" x14ac:dyDescent="0.2">
      <c r="A223" s="91"/>
      <c r="B223" s="210">
        <f>'(FnCalls 1)'!A41</f>
        <v>40544</v>
      </c>
      <c r="C223" s="210">
        <f>'(FnCalls 1)'!A42</f>
        <v>40575</v>
      </c>
      <c r="D223" s="210">
        <f>'(FnCalls 1)'!A43</f>
        <v>40603</v>
      </c>
      <c r="E223" s="210">
        <f>'(FnCalls 1)'!A44</f>
        <v>40634</v>
      </c>
      <c r="F223" s="210">
        <f>'(FnCalls 1)'!A45</f>
        <v>40664</v>
      </c>
      <c r="G223" s="248">
        <f>'(FnCalls 1)'!A46</f>
        <v>40695</v>
      </c>
    </row>
    <row r="224" spans="1:7" ht="12.75" customHeight="1" x14ac:dyDescent="0.2">
      <c r="A224" s="1" t="str">
        <f>"Operating_Margin_2"</f>
        <v>Operating_Margin_2</v>
      </c>
    </row>
    <row r="225" spans="1:7" ht="12.75" customHeight="1" x14ac:dyDescent="0.2">
      <c r="B225" s="10" t="str">
        <f>'(FnCalls 1)'!F41</f>
        <v>MMM 2011</v>
      </c>
      <c r="C225" s="11" t="str">
        <f>'(FnCalls 1)'!F42</f>
        <v>MMM 2011</v>
      </c>
      <c r="D225" s="11" t="str">
        <f>'(FnCalls 1)'!F43</f>
        <v>MMM 2011</v>
      </c>
      <c r="E225" s="11" t="str">
        <f>'(FnCalls 1)'!F44</f>
        <v>MMM 2011</v>
      </c>
      <c r="F225" s="11" t="str">
        <f>'(FnCalls 1)'!F45</f>
        <v>MMM 2011</v>
      </c>
      <c r="G225" s="12" t="str">
        <f>'(FnCalls 1)'!F46</f>
        <v>MMM 2011</v>
      </c>
    </row>
    <row r="226" spans="1:7" ht="12.75" customHeight="1" x14ac:dyDescent="0.2">
      <c r="A226" s="91"/>
      <c r="B226" s="210" t="str">
        <f>'(FnCalls 1)'!F41</f>
        <v>MMM 2011</v>
      </c>
      <c r="C226" s="210" t="str">
        <f>'(FnCalls 1)'!F42</f>
        <v>MMM 2011</v>
      </c>
      <c r="D226" s="210" t="str">
        <f>'(FnCalls 1)'!F43</f>
        <v>MMM 2011</v>
      </c>
      <c r="E226" s="210" t="str">
        <f>'(FnCalls 1)'!F44</f>
        <v>MMM 2011</v>
      </c>
      <c r="F226" s="210" t="str">
        <f>'(FnCalls 1)'!F45</f>
        <v>MMM 2011</v>
      </c>
      <c r="G226" s="248" t="str">
        <f>'(FnCalls 1)'!F46</f>
        <v>MMM 2011</v>
      </c>
    </row>
    <row r="227" spans="1:7" ht="12.75" customHeight="1" x14ac:dyDescent="0.2">
      <c r="A227" s="1" t="str">
        <f>"Gross_Margin_1"</f>
        <v>Gross_Margin_1</v>
      </c>
    </row>
    <row r="228" spans="1:7" ht="12.75" customHeight="1" x14ac:dyDescent="0.2">
      <c r="B228" s="10" t="str">
        <f>'(FnCalls 1)'!F41</f>
        <v>MMM 2011</v>
      </c>
      <c r="C228" s="11" t="str">
        <f>'(FnCalls 1)'!F42</f>
        <v>MMM 2011</v>
      </c>
      <c r="D228" s="11" t="str">
        <f>'(FnCalls 1)'!F43</f>
        <v>MMM 2011</v>
      </c>
      <c r="E228" s="11" t="str">
        <f>'(FnCalls 1)'!F44</f>
        <v>MMM 2011</v>
      </c>
      <c r="F228" s="11" t="str">
        <f>'(FnCalls 1)'!F45</f>
        <v>MMM 2011</v>
      </c>
      <c r="G228" s="12" t="str">
        <f>'(FnCalls 1)'!F46</f>
        <v>MMM 2011</v>
      </c>
    </row>
    <row r="229" spans="1:7" ht="12.75" customHeight="1" x14ac:dyDescent="0.2">
      <c r="A229" s="91"/>
      <c r="B229" s="210">
        <f>'(FnCalls 1)'!A41</f>
        <v>40544</v>
      </c>
      <c r="C229" s="210">
        <f>'(FnCalls 1)'!A42</f>
        <v>40575</v>
      </c>
      <c r="D229" s="210">
        <f>'(FnCalls 1)'!A43</f>
        <v>40603</v>
      </c>
      <c r="E229" s="210">
        <f>'(FnCalls 1)'!A44</f>
        <v>40634</v>
      </c>
      <c r="F229" s="210">
        <f>'(FnCalls 1)'!A45</f>
        <v>40664</v>
      </c>
      <c r="G229" s="248">
        <f>'(FnCalls 1)'!A46</f>
        <v>40695</v>
      </c>
    </row>
    <row r="230" spans="1:7" ht="12.75" customHeight="1" x14ac:dyDescent="0.2">
      <c r="A230" s="1" t="str">
        <f>"Gross_Margin_2"</f>
        <v>Gross_Margin_2</v>
      </c>
    </row>
    <row r="231" spans="1:7" ht="12.75" customHeight="1" x14ac:dyDescent="0.2">
      <c r="B231" s="10" t="str">
        <f>'(FnCalls 1)'!F41</f>
        <v>MMM 2011</v>
      </c>
      <c r="C231" s="11" t="str">
        <f>'(FnCalls 1)'!F42</f>
        <v>MMM 2011</v>
      </c>
      <c r="D231" s="11" t="str">
        <f>'(FnCalls 1)'!F43</f>
        <v>MMM 2011</v>
      </c>
      <c r="E231" s="11" t="str">
        <f>'(FnCalls 1)'!F44</f>
        <v>MMM 2011</v>
      </c>
      <c r="F231" s="11" t="str">
        <f>'(FnCalls 1)'!F45</f>
        <v>MMM 2011</v>
      </c>
      <c r="G231" s="12" t="str">
        <f>'(FnCalls 1)'!F46</f>
        <v>MMM 2011</v>
      </c>
    </row>
    <row r="232" spans="1:7" ht="12.75" customHeight="1" x14ac:dyDescent="0.2">
      <c r="A232" s="91"/>
      <c r="B232" s="210" t="str">
        <f>'(FnCalls 1)'!F41</f>
        <v>MMM 2011</v>
      </c>
      <c r="C232" s="210" t="str">
        <f>'(FnCalls 1)'!F42</f>
        <v>MMM 2011</v>
      </c>
      <c r="D232" s="210" t="str">
        <f>'(FnCalls 1)'!F43</f>
        <v>MMM 2011</v>
      </c>
      <c r="E232" s="210" t="str">
        <f>'(FnCalls 1)'!F44</f>
        <v>MMM 2011</v>
      </c>
      <c r="F232" s="210" t="str">
        <f>'(FnCalls 1)'!F45</f>
        <v>MMM 2011</v>
      </c>
      <c r="G232" s="248" t="str">
        <f>'(FnCalls 1)'!F46</f>
        <v>MMM 2011</v>
      </c>
    </row>
    <row r="233" spans="1:7" ht="12.75" customHeight="1" x14ac:dyDescent="0.2">
      <c r="A233" s="1" t="str">
        <f>"Gross_Margin_Prod_1"</f>
        <v>Gross_Margin_Prod_1</v>
      </c>
    </row>
    <row r="234" spans="1:7" ht="12.75" customHeight="1" x14ac:dyDescent="0.2">
      <c r="B234" s="10" t="str">
        <f>'(FnCalls 1)'!F41</f>
        <v>MMM 2011</v>
      </c>
      <c r="C234" s="11" t="str">
        <f>'(FnCalls 1)'!F42</f>
        <v>MMM 2011</v>
      </c>
      <c r="D234" s="11" t="str">
        <f>'(FnCalls 1)'!F43</f>
        <v>MMM 2011</v>
      </c>
      <c r="E234" s="11" t="str">
        <f>'(FnCalls 1)'!F44</f>
        <v>MMM 2011</v>
      </c>
      <c r="F234" s="11" t="str">
        <f>'(FnCalls 1)'!F45</f>
        <v>MMM 2011</v>
      </c>
      <c r="G234" s="12" t="str">
        <f>'(FnCalls 1)'!F46</f>
        <v>MMM 2011</v>
      </c>
    </row>
    <row r="235" spans="1:7" ht="12.75" customHeight="1" x14ac:dyDescent="0.2">
      <c r="A235" s="91"/>
      <c r="B235" s="210">
        <f>'(FnCalls 1)'!A41</f>
        <v>40544</v>
      </c>
      <c r="C235" s="210">
        <f>'(FnCalls 1)'!A42</f>
        <v>40575</v>
      </c>
      <c r="D235" s="210">
        <f>'(FnCalls 1)'!A43</f>
        <v>40603</v>
      </c>
      <c r="E235" s="210">
        <f>'(FnCalls 1)'!A44</f>
        <v>40634</v>
      </c>
      <c r="F235" s="210">
        <f>'(FnCalls 1)'!A45</f>
        <v>40664</v>
      </c>
      <c r="G235" s="248">
        <f>'(FnCalls 1)'!A46</f>
        <v>40695</v>
      </c>
    </row>
    <row r="236" spans="1:7" ht="12.75" customHeight="1" x14ac:dyDescent="0.2">
      <c r="A236" s="1" t="str">
        <f>"Gross_Margin_Prod_2"</f>
        <v>Gross_Margin_Prod_2</v>
      </c>
    </row>
    <row r="237" spans="1:7" ht="12.75" customHeight="1" x14ac:dyDescent="0.2">
      <c r="B237" s="10" t="str">
        <f>'(FnCalls 1)'!F41</f>
        <v>MMM 2011</v>
      </c>
      <c r="C237" s="11" t="str">
        <f>'(FnCalls 1)'!F42</f>
        <v>MMM 2011</v>
      </c>
      <c r="D237" s="11" t="str">
        <f>'(FnCalls 1)'!F43</f>
        <v>MMM 2011</v>
      </c>
      <c r="E237" s="11" t="str">
        <f>'(FnCalls 1)'!F44</f>
        <v>MMM 2011</v>
      </c>
      <c r="F237" s="11" t="str">
        <f>'(FnCalls 1)'!F45</f>
        <v>MMM 2011</v>
      </c>
      <c r="G237" s="12" t="str">
        <f>'(FnCalls 1)'!F46</f>
        <v>MMM 2011</v>
      </c>
    </row>
    <row r="238" spans="1:7" ht="12.75" customHeight="1" x14ac:dyDescent="0.2">
      <c r="A238" s="91"/>
      <c r="B238" s="210" t="str">
        <f>'(FnCalls 1)'!F41</f>
        <v>MMM 2011</v>
      </c>
      <c r="C238" s="210" t="str">
        <f>'(FnCalls 1)'!F42</f>
        <v>MMM 2011</v>
      </c>
      <c r="D238" s="210" t="str">
        <f>'(FnCalls 1)'!F43</f>
        <v>MMM 2011</v>
      </c>
      <c r="E238" s="210" t="str">
        <f>'(FnCalls 1)'!F44</f>
        <v>MMM 2011</v>
      </c>
      <c r="F238" s="210" t="str">
        <f>'(FnCalls 1)'!F45</f>
        <v>MMM 2011</v>
      </c>
      <c r="G238" s="248" t="str">
        <f>'(FnCalls 1)'!F46</f>
        <v>MMM 2011</v>
      </c>
    </row>
    <row r="239" spans="1:7" ht="12.75" customHeight="1" x14ac:dyDescent="0.2">
      <c r="A239" s="1" t="str">
        <f>"Net_Income_1"</f>
        <v>Net_Income_1</v>
      </c>
    </row>
    <row r="240" spans="1:7" ht="12.75" customHeight="1" x14ac:dyDescent="0.2">
      <c r="B240" s="10" t="str">
        <f>'(FnCalls 1)'!F41</f>
        <v>MMM 2011</v>
      </c>
      <c r="C240" s="11" t="str">
        <f>'(FnCalls 1)'!F42</f>
        <v>MMM 2011</v>
      </c>
      <c r="D240" s="11" t="str">
        <f>'(FnCalls 1)'!F43</f>
        <v>MMM 2011</v>
      </c>
      <c r="E240" s="11" t="str">
        <f>'(FnCalls 1)'!F44</f>
        <v>MMM 2011</v>
      </c>
      <c r="F240" s="11" t="str">
        <f>'(FnCalls 1)'!F45</f>
        <v>MMM 2011</v>
      </c>
      <c r="G240" s="12" t="str">
        <f>'(FnCalls 1)'!F46</f>
        <v>MMM 2011</v>
      </c>
    </row>
    <row r="241" spans="1:8" ht="12.75" customHeight="1" x14ac:dyDescent="0.2">
      <c r="A241" s="91"/>
      <c r="B241" s="210">
        <f>'(FnCalls 1)'!A41</f>
        <v>40544</v>
      </c>
      <c r="C241" s="210">
        <f>'(FnCalls 1)'!A42</f>
        <v>40575</v>
      </c>
      <c r="D241" s="210">
        <f>'(FnCalls 1)'!A43</f>
        <v>40603</v>
      </c>
      <c r="E241" s="210">
        <f>'(FnCalls 1)'!A44</f>
        <v>40634</v>
      </c>
      <c r="F241" s="210">
        <f>'(FnCalls 1)'!A45</f>
        <v>40664</v>
      </c>
      <c r="G241" s="248">
        <f>'(FnCalls 1)'!A46</f>
        <v>40695</v>
      </c>
    </row>
    <row r="242" spans="1:8" ht="12.75" customHeight="1" x14ac:dyDescent="0.2">
      <c r="A242" s="1" t="str">
        <f>"Net_Income_2"</f>
        <v>Net_Income_2</v>
      </c>
    </row>
    <row r="243" spans="1:8" ht="12.75" customHeight="1" x14ac:dyDescent="0.2">
      <c r="B243" s="10" t="str">
        <f>'(FnCalls 1)'!F41</f>
        <v>MMM 2011</v>
      </c>
      <c r="C243" s="11" t="str">
        <f>'(FnCalls 1)'!F42</f>
        <v>MMM 2011</v>
      </c>
      <c r="D243" s="11" t="str">
        <f>'(FnCalls 1)'!F43</f>
        <v>MMM 2011</v>
      </c>
      <c r="E243" s="11" t="str">
        <f>'(FnCalls 1)'!F44</f>
        <v>MMM 2011</v>
      </c>
      <c r="F243" s="11" t="str">
        <f>'(FnCalls 1)'!F45</f>
        <v>MMM 2011</v>
      </c>
      <c r="G243" s="12" t="str">
        <f>'(FnCalls 1)'!F46</f>
        <v>MMM 2011</v>
      </c>
    </row>
    <row r="244" spans="1:8" ht="12.75" customHeight="1" x14ac:dyDescent="0.2">
      <c r="A244" s="91"/>
      <c r="B244" s="210" t="str">
        <f>'(FnCalls 1)'!F41</f>
        <v>MMM 2011</v>
      </c>
      <c r="C244" s="210" t="str">
        <f>'(FnCalls 1)'!F42</f>
        <v>MMM 2011</v>
      </c>
      <c r="D244" s="210" t="str">
        <f>'(FnCalls 1)'!F43</f>
        <v>MMM 2011</v>
      </c>
      <c r="E244" s="210" t="str">
        <f>'(FnCalls 1)'!F44</f>
        <v>MMM 2011</v>
      </c>
      <c r="F244" s="210" t="str">
        <f>'(FnCalls 1)'!F45</f>
        <v>MMM 2011</v>
      </c>
      <c r="G244" s="248" t="str">
        <f>'(FnCalls 1)'!F46</f>
        <v>MMM 2011</v>
      </c>
    </row>
    <row r="245" spans="1:8" ht="12.75" customHeight="1" x14ac:dyDescent="0.2">
      <c r="A245" s="1" t="str">
        <f>"Assets_1"</f>
        <v>Assets_1</v>
      </c>
    </row>
    <row r="246" spans="1:8" ht="12.75" customHeight="1" x14ac:dyDescent="0.2">
      <c r="B246" s="10" t="str">
        <f>'(FnCalls 1)'!F40</f>
        <v>MMM 2010</v>
      </c>
      <c r="C246" s="11" t="str">
        <f>'(FnCalls 1)'!F41</f>
        <v>MMM 2011</v>
      </c>
      <c r="D246" s="11" t="str">
        <f>'(FnCalls 1)'!F42</f>
        <v>MMM 2011</v>
      </c>
      <c r="E246" s="11" t="str">
        <f>'(FnCalls 1)'!F43</f>
        <v>MMM 2011</v>
      </c>
      <c r="F246" s="11" t="str">
        <f>'(FnCalls 1)'!F44</f>
        <v>MMM 2011</v>
      </c>
      <c r="G246" s="11" t="str">
        <f>'(FnCalls 1)'!F45</f>
        <v>MMM 2011</v>
      </c>
      <c r="H246" s="12" t="str">
        <f>'(FnCalls 1)'!F46</f>
        <v>MMM 2011</v>
      </c>
    </row>
    <row r="247" spans="1:8" ht="12.75" customHeight="1" x14ac:dyDescent="0.2">
      <c r="A247" s="91"/>
      <c r="B247" s="210">
        <f>'(FnCalls 1)'!A40</f>
        <v>40513</v>
      </c>
      <c r="C247" s="210">
        <f>'(FnCalls 1)'!A41</f>
        <v>40544</v>
      </c>
      <c r="D247" s="210">
        <f>'(FnCalls 1)'!A42</f>
        <v>40575</v>
      </c>
      <c r="E247" s="210">
        <f>'(FnCalls 1)'!A43</f>
        <v>40603</v>
      </c>
      <c r="F247" s="210">
        <f>'(FnCalls 1)'!A44</f>
        <v>40634</v>
      </c>
      <c r="G247" s="210">
        <f>'(FnCalls 1)'!A45</f>
        <v>40664</v>
      </c>
      <c r="H247" s="248">
        <f>'(FnCalls 1)'!A46</f>
        <v>40695</v>
      </c>
    </row>
    <row r="248" spans="1:8" ht="12.75" customHeight="1" x14ac:dyDescent="0.2">
      <c r="A248" s="1" t="str">
        <f>"Assets_2"</f>
        <v>Assets_2</v>
      </c>
    </row>
    <row r="249" spans="1:8" ht="12.75" customHeight="1" x14ac:dyDescent="0.2">
      <c r="B249" s="10" t="str">
        <f>'(FnCalls 1)'!F40</f>
        <v>MMM 2010</v>
      </c>
      <c r="C249" s="11" t="str">
        <f>'(FnCalls 1)'!F41</f>
        <v>MMM 2011</v>
      </c>
      <c r="D249" s="11" t="str">
        <f>'(FnCalls 1)'!F42</f>
        <v>MMM 2011</v>
      </c>
      <c r="E249" s="11" t="str">
        <f>'(FnCalls 1)'!F43</f>
        <v>MMM 2011</v>
      </c>
      <c r="F249" s="11" t="str">
        <f>'(FnCalls 1)'!F44</f>
        <v>MMM 2011</v>
      </c>
      <c r="G249" s="11" t="str">
        <f>'(FnCalls 1)'!F45</f>
        <v>MMM 2011</v>
      </c>
      <c r="H249" s="12" t="str">
        <f>'(FnCalls 1)'!F46</f>
        <v>MMM 2011</v>
      </c>
    </row>
    <row r="250" spans="1:8" ht="12.75" customHeight="1" x14ac:dyDescent="0.2">
      <c r="A250" s="91"/>
      <c r="B250" s="210" t="str">
        <f>'(FnCalls 1)'!F40</f>
        <v>MMM 2010</v>
      </c>
      <c r="C250" s="210" t="str">
        <f>'(FnCalls 1)'!F41</f>
        <v>MMM 2011</v>
      </c>
      <c r="D250" s="210" t="str">
        <f>'(FnCalls 1)'!F42</f>
        <v>MMM 2011</v>
      </c>
      <c r="E250" s="210" t="str">
        <f>'(FnCalls 1)'!F43</f>
        <v>MMM 2011</v>
      </c>
      <c r="F250" s="210" t="str">
        <f>'(FnCalls 1)'!F44</f>
        <v>MMM 2011</v>
      </c>
      <c r="G250" s="210" t="str">
        <f>'(FnCalls 1)'!F45</f>
        <v>MMM 2011</v>
      </c>
      <c r="H250" s="248" t="str">
        <f>'(FnCalls 1)'!F46</f>
        <v>MMM 2011</v>
      </c>
    </row>
    <row r="251" spans="1:8" ht="12.75" customHeight="1" x14ac:dyDescent="0.2">
      <c r="A251" s="1" t="str">
        <f>"Liabilities_1"</f>
        <v>Liabilities_1</v>
      </c>
    </row>
    <row r="252" spans="1:8" ht="12.75" customHeight="1" x14ac:dyDescent="0.2">
      <c r="B252" s="10" t="str">
        <f>'(FnCalls 1)'!F40</f>
        <v>MMM 2010</v>
      </c>
      <c r="C252" s="11" t="str">
        <f>'(FnCalls 1)'!F41</f>
        <v>MMM 2011</v>
      </c>
      <c r="D252" s="11" t="str">
        <f>'(FnCalls 1)'!F42</f>
        <v>MMM 2011</v>
      </c>
      <c r="E252" s="11" t="str">
        <f>'(FnCalls 1)'!F43</f>
        <v>MMM 2011</v>
      </c>
      <c r="F252" s="11" t="str">
        <f>'(FnCalls 1)'!F44</f>
        <v>MMM 2011</v>
      </c>
      <c r="G252" s="11" t="str">
        <f>'(FnCalls 1)'!F45</f>
        <v>MMM 2011</v>
      </c>
      <c r="H252" s="12" t="str">
        <f>'(FnCalls 1)'!F46</f>
        <v>MMM 2011</v>
      </c>
    </row>
    <row r="253" spans="1:8" ht="12.75" customHeight="1" x14ac:dyDescent="0.2">
      <c r="A253" s="91"/>
      <c r="B253" s="210">
        <f>'(FnCalls 1)'!A40</f>
        <v>40513</v>
      </c>
      <c r="C253" s="210">
        <f>'(FnCalls 1)'!A41</f>
        <v>40544</v>
      </c>
      <c r="D253" s="210">
        <f>'(FnCalls 1)'!A42</f>
        <v>40575</v>
      </c>
      <c r="E253" s="210">
        <f>'(FnCalls 1)'!A43</f>
        <v>40603</v>
      </c>
      <c r="F253" s="210">
        <f>'(FnCalls 1)'!A44</f>
        <v>40634</v>
      </c>
      <c r="G253" s="210">
        <f>'(FnCalls 1)'!A45</f>
        <v>40664</v>
      </c>
      <c r="H253" s="248">
        <f>'(FnCalls 1)'!A46</f>
        <v>40695</v>
      </c>
    </row>
    <row r="254" spans="1:8" ht="12.75" customHeight="1" x14ac:dyDescent="0.2">
      <c r="A254" s="1" t="str">
        <f>"Liabilities_2"</f>
        <v>Liabilities_2</v>
      </c>
    </row>
    <row r="255" spans="1:8" ht="12.75" customHeight="1" x14ac:dyDescent="0.2">
      <c r="B255" s="10" t="str">
        <f>'(FnCalls 1)'!F40</f>
        <v>MMM 2010</v>
      </c>
      <c r="C255" s="11" t="str">
        <f>'(FnCalls 1)'!F41</f>
        <v>MMM 2011</v>
      </c>
      <c r="D255" s="11" t="str">
        <f>'(FnCalls 1)'!F42</f>
        <v>MMM 2011</v>
      </c>
      <c r="E255" s="11" t="str">
        <f>'(FnCalls 1)'!F43</f>
        <v>MMM 2011</v>
      </c>
      <c r="F255" s="11" t="str">
        <f>'(FnCalls 1)'!F44</f>
        <v>MMM 2011</v>
      </c>
      <c r="G255" s="11" t="str">
        <f>'(FnCalls 1)'!F45</f>
        <v>MMM 2011</v>
      </c>
      <c r="H255" s="12" t="str">
        <f>'(FnCalls 1)'!F46</f>
        <v>MMM 2011</v>
      </c>
    </row>
    <row r="256" spans="1:8" ht="12.75" customHeight="1" x14ac:dyDescent="0.2">
      <c r="A256" s="91"/>
      <c r="B256" s="210" t="str">
        <f>'(FnCalls 1)'!F40</f>
        <v>MMM 2010</v>
      </c>
      <c r="C256" s="210" t="str">
        <f>'(FnCalls 1)'!F41</f>
        <v>MMM 2011</v>
      </c>
      <c r="D256" s="210" t="str">
        <f>'(FnCalls 1)'!F42</f>
        <v>MMM 2011</v>
      </c>
      <c r="E256" s="210" t="str">
        <f>'(FnCalls 1)'!F43</f>
        <v>MMM 2011</v>
      </c>
      <c r="F256" s="210" t="str">
        <f>'(FnCalls 1)'!F44</f>
        <v>MMM 2011</v>
      </c>
      <c r="G256" s="210" t="str">
        <f>'(FnCalls 1)'!F45</f>
        <v>MMM 2011</v>
      </c>
      <c r="H256" s="248" t="str">
        <f>'(FnCalls 1)'!F46</f>
        <v>MMM 2011</v>
      </c>
    </row>
    <row r="257" spans="1:8" ht="12.75" customHeight="1" x14ac:dyDescent="0.2">
      <c r="A257" s="1" t="str">
        <f>"Equity_1"</f>
        <v>Equity_1</v>
      </c>
    </row>
    <row r="258" spans="1:8" ht="12.75" customHeight="1" x14ac:dyDescent="0.2">
      <c r="B258" s="10" t="str">
        <f>'(FnCalls 1)'!F40</f>
        <v>MMM 2010</v>
      </c>
      <c r="C258" s="11" t="str">
        <f>'(FnCalls 1)'!F41</f>
        <v>MMM 2011</v>
      </c>
      <c r="D258" s="11" t="str">
        <f>'(FnCalls 1)'!F42</f>
        <v>MMM 2011</v>
      </c>
      <c r="E258" s="11" t="str">
        <f>'(FnCalls 1)'!F43</f>
        <v>MMM 2011</v>
      </c>
      <c r="F258" s="11" t="str">
        <f>'(FnCalls 1)'!F44</f>
        <v>MMM 2011</v>
      </c>
      <c r="G258" s="11" t="str">
        <f>'(FnCalls 1)'!F45</f>
        <v>MMM 2011</v>
      </c>
      <c r="H258" s="12" t="str">
        <f>'(FnCalls 1)'!F46</f>
        <v>MMM 2011</v>
      </c>
    </row>
    <row r="259" spans="1:8" ht="12.75" customHeight="1" x14ac:dyDescent="0.2">
      <c r="A259" s="91"/>
      <c r="B259" s="210">
        <f>'(FnCalls 1)'!A40</f>
        <v>40513</v>
      </c>
      <c r="C259" s="210">
        <f>'(FnCalls 1)'!A41</f>
        <v>40544</v>
      </c>
      <c r="D259" s="210">
        <f>'(FnCalls 1)'!A42</f>
        <v>40575</v>
      </c>
      <c r="E259" s="210">
        <f>'(FnCalls 1)'!A43</f>
        <v>40603</v>
      </c>
      <c r="F259" s="210">
        <f>'(FnCalls 1)'!A44</f>
        <v>40634</v>
      </c>
      <c r="G259" s="210">
        <f>'(FnCalls 1)'!A45</f>
        <v>40664</v>
      </c>
      <c r="H259" s="248">
        <f>'(FnCalls 1)'!A46</f>
        <v>40695</v>
      </c>
    </row>
    <row r="260" spans="1:8" ht="12.75" customHeight="1" x14ac:dyDescent="0.2">
      <c r="A260" s="1" t="str">
        <f>"Equity_2"</f>
        <v>Equity_2</v>
      </c>
    </row>
    <row r="261" spans="1:8" ht="12.75" customHeight="1" x14ac:dyDescent="0.2">
      <c r="B261" s="10" t="str">
        <f>'(FnCalls 1)'!F40</f>
        <v>MMM 2010</v>
      </c>
      <c r="C261" s="11" t="str">
        <f>'(FnCalls 1)'!F41</f>
        <v>MMM 2011</v>
      </c>
      <c r="D261" s="11" t="str">
        <f>'(FnCalls 1)'!F42</f>
        <v>MMM 2011</v>
      </c>
      <c r="E261" s="11" t="str">
        <f>'(FnCalls 1)'!F43</f>
        <v>MMM 2011</v>
      </c>
      <c r="F261" s="11" t="str">
        <f>'(FnCalls 1)'!F44</f>
        <v>MMM 2011</v>
      </c>
      <c r="G261" s="11" t="str">
        <f>'(FnCalls 1)'!F45</f>
        <v>MMM 2011</v>
      </c>
      <c r="H261" s="12" t="str">
        <f>'(FnCalls 1)'!F46</f>
        <v>MMM 2011</v>
      </c>
    </row>
    <row r="262" spans="1:8" ht="12.75" customHeight="1" x14ac:dyDescent="0.2">
      <c r="A262" s="91"/>
      <c r="B262" s="210" t="str">
        <f>'(FnCalls 1)'!F40</f>
        <v>MMM 2010</v>
      </c>
      <c r="C262" s="210" t="str">
        <f>'(FnCalls 1)'!F41</f>
        <v>MMM 2011</v>
      </c>
      <c r="D262" s="210" t="str">
        <f>'(FnCalls 1)'!F42</f>
        <v>MMM 2011</v>
      </c>
      <c r="E262" s="210" t="str">
        <f>'(FnCalls 1)'!F43</f>
        <v>MMM 2011</v>
      </c>
      <c r="F262" s="210" t="str">
        <f>'(FnCalls 1)'!F44</f>
        <v>MMM 2011</v>
      </c>
      <c r="G262" s="210" t="str">
        <f>'(FnCalls 1)'!F45</f>
        <v>MMM 2011</v>
      </c>
      <c r="H262" s="248" t="str">
        <f>'(FnCalls 1)'!F46</f>
        <v>MMM 2011</v>
      </c>
    </row>
  </sheetData>
  <mergeCells count="2">
    <mergeCell ref="A1:D1"/>
    <mergeCell ref="A2:D2"/>
  </mergeCells>
  <pageMargins left="0.25" right="0.25" top="0.5" bottom="0.5" header="0.5" footer="0.5"/>
  <pageSetup paperSize="9" fitToHeight="32767" orientation="landscape" horizontalDpi="300" verticalDpi="30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H73"/>
  <sheetViews>
    <sheetView zoomScaleNormal="100" workbookViewId="0"/>
  </sheetViews>
  <sheetFormatPr defaultRowHeight="12.75" customHeight="1" x14ac:dyDescent="0.2"/>
  <sheetData>
    <row r="1" spans="1:8" ht="12.75" customHeight="1" x14ac:dyDescent="0.2">
      <c r="A1" s="320" t="str">
        <f>Inputs!D7</f>
        <v>ABC Corp.</v>
      </c>
      <c r="B1" s="320"/>
      <c r="C1" s="320"/>
      <c r="D1" s="320"/>
    </row>
    <row r="2" spans="1:8" ht="12.75" customHeight="1" x14ac:dyDescent="0.2">
      <c r="A2" s="320" t="e">
        <f>TEXT(A41,"m/d/yyyy")&amp;" to "&amp;TEXT(A47-1,"m/d/yyyy")&amp;", Scenario "&amp;1</f>
        <v>#VALUE!</v>
      </c>
      <c r="B2" s="320"/>
      <c r="C2" s="320"/>
      <c r="D2" s="320"/>
    </row>
    <row r="3" spans="1:8" ht="12.75" customHeight="1" x14ac:dyDescent="0.2">
      <c r="A3" s="4">
        <f>IF(WEEKDAY(Labels!B3)&gt;=1,Labels!B3-WEEKDAY(Labels!B3)+1,Labels!B3-(7-(1-WEEKDAY(Labels!B3))))</f>
        <v>40538</v>
      </c>
    </row>
    <row r="4" spans="1:8" ht="12.75" customHeight="1" x14ac:dyDescent="0.2">
      <c r="A4" s="4">
        <f>DATE(YEAR(Labels!B3)+(-4),MONTH(Labels!B3)+(11),1)</f>
        <v>39417</v>
      </c>
      <c r="C4" s="4">
        <f>Labels!B3+(-1127)</f>
        <v>39417</v>
      </c>
      <c r="D4" t="e">
        <f t="shared" ref="D4:D48" si="0">TEXT(C4,"m/d/yyyy")</f>
        <v>#VALUE!</v>
      </c>
      <c r="F4" t="str">
        <f t="shared" ref="F4:F48" si="1">TEXT(A4,"MMM yyyy")</f>
        <v>MMM 2007</v>
      </c>
    </row>
    <row r="5" spans="1:8" ht="12.75" customHeight="1" x14ac:dyDescent="0.2">
      <c r="A5" s="4">
        <f>DATE(YEAR(Labels!B3)+(-3),MONTH(Labels!B3)+(0),1)</f>
        <v>39448</v>
      </c>
      <c r="C5" s="4">
        <f>Labels!B3+(-1096)</f>
        <v>39448</v>
      </c>
      <c r="D5" t="e">
        <f t="shared" si="0"/>
        <v>#VALUE!</v>
      </c>
      <c r="F5" t="str">
        <f t="shared" si="1"/>
        <v>MMM 2008</v>
      </c>
      <c r="G5" t="str">
        <f>"Q"&amp;(TRUNC((MONTH(A5)-1)/3)+1)&amp;" "&amp;YEAR(A5)</f>
        <v>Q1 2008</v>
      </c>
      <c r="H5" t="str">
        <f>TEXT(YEAR(A5),"0000")</f>
        <v>2008</v>
      </c>
    </row>
    <row r="6" spans="1:8" ht="12.75" customHeight="1" x14ac:dyDescent="0.2">
      <c r="A6" s="4">
        <f>DATE(YEAR(Labels!B3)+(-3),MONTH(Labels!B3)+(1),1)</f>
        <v>39479</v>
      </c>
      <c r="C6" s="4">
        <f>Labels!B3+(-1065)</f>
        <v>39479</v>
      </c>
      <c r="D6" t="e">
        <f t="shared" si="0"/>
        <v>#VALUE!</v>
      </c>
      <c r="F6" t="str">
        <f t="shared" si="1"/>
        <v>MMM 2008</v>
      </c>
    </row>
    <row r="7" spans="1:8" ht="12.75" customHeight="1" x14ac:dyDescent="0.2">
      <c r="A7" s="4">
        <f>DATE(YEAR(Labels!B3)+(-3),MONTH(Labels!B3)+(2),1)</f>
        <v>39508</v>
      </c>
      <c r="C7" s="4">
        <f>Labels!B3+(-1036)</f>
        <v>39508</v>
      </c>
      <c r="D7" t="e">
        <f t="shared" si="0"/>
        <v>#VALUE!</v>
      </c>
      <c r="F7" t="str">
        <f t="shared" si="1"/>
        <v>MMM 2008</v>
      </c>
    </row>
    <row r="8" spans="1:8" ht="12.75" customHeight="1" x14ac:dyDescent="0.2">
      <c r="A8" s="4">
        <f>DATE(YEAR(Labels!B3)+(-3),MONTH(Labels!B3)+(3),1)</f>
        <v>39539</v>
      </c>
      <c r="C8" s="4">
        <f>Labels!B3+(-1005)</f>
        <v>39539</v>
      </c>
      <c r="D8" t="e">
        <f t="shared" si="0"/>
        <v>#VALUE!</v>
      </c>
      <c r="F8" t="str">
        <f t="shared" si="1"/>
        <v>MMM 2008</v>
      </c>
      <c r="G8" t="str">
        <f>"Q"&amp;(TRUNC((MONTH(A8)-1)/3)+1)&amp;" "&amp;YEAR(A8)</f>
        <v>Q2 2008</v>
      </c>
    </row>
    <row r="9" spans="1:8" ht="12.75" customHeight="1" x14ac:dyDescent="0.2">
      <c r="A9" s="4">
        <f>DATE(YEAR(Labels!B3)+(-3),MONTH(Labels!B3)+(4),1)</f>
        <v>39569</v>
      </c>
      <c r="C9" s="4">
        <f>Labels!B3+(-975)</f>
        <v>39569</v>
      </c>
      <c r="D9" t="e">
        <f t="shared" si="0"/>
        <v>#VALUE!</v>
      </c>
      <c r="F9" t="str">
        <f t="shared" si="1"/>
        <v>MMM 2008</v>
      </c>
    </row>
    <row r="10" spans="1:8" ht="12.75" customHeight="1" x14ac:dyDescent="0.2">
      <c r="A10" s="4">
        <f>DATE(YEAR(Labels!B3)+(-3),MONTH(Labels!B3)+(5),1)</f>
        <v>39600</v>
      </c>
      <c r="B10" s="4">
        <f>A3+(-938)</f>
        <v>39600</v>
      </c>
      <c r="C10" s="4">
        <f>Labels!B3+(-944)</f>
        <v>39600</v>
      </c>
      <c r="D10" t="e">
        <f t="shared" si="0"/>
        <v>#VALUE!</v>
      </c>
      <c r="E10" t="e">
        <f>"W "&amp;TEXT(B10,"m/d/yyyy")</f>
        <v>#VALUE!</v>
      </c>
      <c r="F10" t="str">
        <f t="shared" si="1"/>
        <v>MMM 2008</v>
      </c>
    </row>
    <row r="11" spans="1:8" ht="12.75" customHeight="1" x14ac:dyDescent="0.2">
      <c r="A11" s="4">
        <f>DATE(YEAR(Labels!B3)+(-3),MONTH(Labels!B3)+(6),1)</f>
        <v>39630</v>
      </c>
      <c r="C11" s="4">
        <f>Labels!B3+(-914)</f>
        <v>39630</v>
      </c>
      <c r="D11" t="e">
        <f t="shared" si="0"/>
        <v>#VALUE!</v>
      </c>
      <c r="F11" t="str">
        <f t="shared" si="1"/>
        <v>MMM 2008</v>
      </c>
      <c r="G11" t="str">
        <f>"Q"&amp;(TRUNC((MONTH(A11)-1)/3)+1)&amp;" "&amp;YEAR(A11)</f>
        <v>Q3 2008</v>
      </c>
    </row>
    <row r="12" spans="1:8" ht="12.75" customHeight="1" x14ac:dyDescent="0.2">
      <c r="A12" s="4">
        <f>DATE(YEAR(Labels!B3)+(-3),MONTH(Labels!B3)+(7),1)</f>
        <v>39661</v>
      </c>
      <c r="C12" s="4">
        <f>Labels!B3+(-883)</f>
        <v>39661</v>
      </c>
      <c r="D12" t="e">
        <f t="shared" si="0"/>
        <v>#VALUE!</v>
      </c>
      <c r="F12" t="str">
        <f t="shared" si="1"/>
        <v>MMM 2008</v>
      </c>
    </row>
    <row r="13" spans="1:8" ht="12.75" customHeight="1" x14ac:dyDescent="0.2">
      <c r="A13" s="4">
        <f>DATE(YEAR(Labels!B3)+(-3),MONTH(Labels!B3)+(8),1)</f>
        <v>39692</v>
      </c>
      <c r="C13" s="4">
        <f>Labels!B3+(-852)</f>
        <v>39692</v>
      </c>
      <c r="D13" t="e">
        <f t="shared" si="0"/>
        <v>#VALUE!</v>
      </c>
      <c r="F13" t="str">
        <f t="shared" si="1"/>
        <v>MMM 2008</v>
      </c>
    </row>
    <row r="14" spans="1:8" ht="12.75" customHeight="1" x14ac:dyDescent="0.2">
      <c r="A14" s="4">
        <f>DATE(YEAR(Labels!B3)+(-3),MONTH(Labels!B3)+(9),1)</f>
        <v>39722</v>
      </c>
      <c r="C14" s="4">
        <f>Labels!B3+(-822)</f>
        <v>39722</v>
      </c>
      <c r="D14" t="e">
        <f t="shared" si="0"/>
        <v>#VALUE!</v>
      </c>
      <c r="F14" t="str">
        <f t="shared" si="1"/>
        <v>MMM 2008</v>
      </c>
      <c r="G14" t="str">
        <f>"Q"&amp;(TRUNC((MONTH(A14)-1)/3)+1)&amp;" "&amp;YEAR(A14)</f>
        <v>Q4 2008</v>
      </c>
    </row>
    <row r="15" spans="1:8" ht="12.75" customHeight="1" x14ac:dyDescent="0.2">
      <c r="A15" s="4">
        <f>DATE(YEAR(Labels!B3)+(-3),MONTH(Labels!B3)+(10),1)</f>
        <v>39753</v>
      </c>
      <c r="C15" s="4">
        <f>Labels!B3+(-791)</f>
        <v>39753</v>
      </c>
      <c r="D15" t="e">
        <f t="shared" si="0"/>
        <v>#VALUE!</v>
      </c>
      <c r="F15" t="str">
        <f t="shared" si="1"/>
        <v>MMM 2008</v>
      </c>
    </row>
    <row r="16" spans="1:8" ht="12.75" customHeight="1" x14ac:dyDescent="0.2">
      <c r="A16" s="4">
        <f>DATE(YEAR(Labels!B3)+(-3),MONTH(Labels!B3)+(11),1)</f>
        <v>39783</v>
      </c>
      <c r="C16" s="4">
        <f>Labels!B3+(-761)</f>
        <v>39783</v>
      </c>
      <c r="D16" t="e">
        <f t="shared" si="0"/>
        <v>#VALUE!</v>
      </c>
      <c r="F16" t="str">
        <f t="shared" si="1"/>
        <v>MMM 2008</v>
      </c>
    </row>
    <row r="17" spans="1:8" ht="12.75" customHeight="1" x14ac:dyDescent="0.2">
      <c r="A17" s="4">
        <f>DATE(YEAR(Labels!B3)+(-2),MONTH(Labels!B3)+(0),1)</f>
        <v>39814</v>
      </c>
      <c r="C17" s="4">
        <f>Labels!B3+(-730)</f>
        <v>39814</v>
      </c>
      <c r="D17" t="e">
        <f t="shared" si="0"/>
        <v>#VALUE!</v>
      </c>
      <c r="F17" t="str">
        <f t="shared" si="1"/>
        <v>MMM 2009</v>
      </c>
      <c r="G17" t="str">
        <f>"Q"&amp;(TRUNC((MONTH(A17)-1)/3)+1)&amp;" "&amp;YEAR(A17)</f>
        <v>Q1 2009</v>
      </c>
      <c r="H17" t="str">
        <f>TEXT(YEAR(A17),"0000")</f>
        <v>2009</v>
      </c>
    </row>
    <row r="18" spans="1:8" ht="12.75" customHeight="1" x14ac:dyDescent="0.2">
      <c r="A18" s="4">
        <f>DATE(YEAR(Labels!B3)+(-2),MONTH(Labels!B3)+(1),1)</f>
        <v>39845</v>
      </c>
      <c r="B18" s="4">
        <f>A3+(-693)</f>
        <v>39845</v>
      </c>
      <c r="C18" s="4">
        <f>Labels!B3+(-699)</f>
        <v>39845</v>
      </c>
      <c r="D18" t="e">
        <f t="shared" si="0"/>
        <v>#VALUE!</v>
      </c>
      <c r="E18" t="e">
        <f>"W "&amp;TEXT(B18,"m/d/yyyy")</f>
        <v>#VALUE!</v>
      </c>
      <c r="F18" t="str">
        <f t="shared" si="1"/>
        <v>MMM 2009</v>
      </c>
    </row>
    <row r="19" spans="1:8" ht="12.75" customHeight="1" x14ac:dyDescent="0.2">
      <c r="A19" s="4">
        <f>DATE(YEAR(Labels!B3)+(-2),MONTH(Labels!B3)+(2),1)</f>
        <v>39873</v>
      </c>
      <c r="B19" s="4">
        <f>A3+(-665)</f>
        <v>39873</v>
      </c>
      <c r="C19" s="4">
        <f>Labels!B3+(-671)</f>
        <v>39873</v>
      </c>
      <c r="D19" t="e">
        <f t="shared" si="0"/>
        <v>#VALUE!</v>
      </c>
      <c r="E19" t="e">
        <f>"W "&amp;TEXT(B19,"m/d/yyyy")</f>
        <v>#VALUE!</v>
      </c>
      <c r="F19" t="str">
        <f t="shared" si="1"/>
        <v>MMM 2009</v>
      </c>
    </row>
    <row r="20" spans="1:8" ht="12.75" customHeight="1" x14ac:dyDescent="0.2">
      <c r="A20" s="4">
        <f>DATE(YEAR(Labels!B3)+(-2),MONTH(Labels!B3)+(3),1)</f>
        <v>39904</v>
      </c>
      <c r="C20" s="4">
        <f>Labels!B3+(-640)</f>
        <v>39904</v>
      </c>
      <c r="D20" t="e">
        <f t="shared" si="0"/>
        <v>#VALUE!</v>
      </c>
      <c r="F20" t="str">
        <f t="shared" si="1"/>
        <v>MMM 2009</v>
      </c>
      <c r="G20" t="str">
        <f>"Q"&amp;(TRUNC((MONTH(A20)-1)/3)+1)&amp;" "&amp;YEAR(A20)</f>
        <v>Q2 2009</v>
      </c>
    </row>
    <row r="21" spans="1:8" ht="12.75" customHeight="1" x14ac:dyDescent="0.2">
      <c r="A21" s="4">
        <f>DATE(YEAR(Labels!B3)+(-2),MONTH(Labels!B3)+(4),1)</f>
        <v>39934</v>
      </c>
      <c r="C21" s="4">
        <f>Labels!B3+(-610)</f>
        <v>39934</v>
      </c>
      <c r="D21" t="e">
        <f t="shared" si="0"/>
        <v>#VALUE!</v>
      </c>
      <c r="F21" t="str">
        <f t="shared" si="1"/>
        <v>MMM 2009</v>
      </c>
    </row>
    <row r="22" spans="1:8" ht="12.75" customHeight="1" x14ac:dyDescent="0.2">
      <c r="A22" s="4">
        <f>DATE(YEAR(Labels!B3)+(-2),MONTH(Labels!B3)+(5),1)</f>
        <v>39965</v>
      </c>
      <c r="C22" s="4">
        <f>Labels!B3+(-579)</f>
        <v>39965</v>
      </c>
      <c r="D22" t="e">
        <f t="shared" si="0"/>
        <v>#VALUE!</v>
      </c>
      <c r="F22" t="str">
        <f t="shared" si="1"/>
        <v>MMM 2009</v>
      </c>
    </row>
    <row r="23" spans="1:8" ht="12.75" customHeight="1" x14ac:dyDescent="0.2">
      <c r="A23" s="4">
        <f>DATE(YEAR(Labels!B3)+(-2),MONTH(Labels!B3)+(6),1)</f>
        <v>39995</v>
      </c>
      <c r="C23" s="4">
        <f>Labels!B3+(-549)</f>
        <v>39995</v>
      </c>
      <c r="D23" t="e">
        <f t="shared" si="0"/>
        <v>#VALUE!</v>
      </c>
      <c r="F23" t="str">
        <f t="shared" si="1"/>
        <v>MMM 2009</v>
      </c>
      <c r="G23" t="str">
        <f>"Q"&amp;(TRUNC((MONTH(A23)-1)/3)+1)&amp;" "&amp;YEAR(A23)</f>
        <v>Q3 2009</v>
      </c>
    </row>
    <row r="24" spans="1:8" ht="12.75" customHeight="1" x14ac:dyDescent="0.2">
      <c r="A24" s="4">
        <f>DATE(YEAR(Labels!B3)+(-2),MONTH(Labels!B3)+(7),1)</f>
        <v>40026</v>
      </c>
      <c r="C24" s="4">
        <f>Labels!B3+(-518)</f>
        <v>40026</v>
      </c>
      <c r="D24" t="e">
        <f t="shared" si="0"/>
        <v>#VALUE!</v>
      </c>
      <c r="F24" t="str">
        <f t="shared" si="1"/>
        <v>MMM 2009</v>
      </c>
    </row>
    <row r="25" spans="1:8" ht="12.75" customHeight="1" x14ac:dyDescent="0.2">
      <c r="A25" s="4">
        <f>DATE(YEAR(Labels!B3)+(-2),MONTH(Labels!B3)+(8),1)</f>
        <v>40057</v>
      </c>
      <c r="C25" s="4">
        <f>Labels!B3+(-487)</f>
        <v>40057</v>
      </c>
      <c r="D25" t="e">
        <f t="shared" si="0"/>
        <v>#VALUE!</v>
      </c>
      <c r="F25" t="str">
        <f t="shared" si="1"/>
        <v>MMM 2009</v>
      </c>
    </row>
    <row r="26" spans="1:8" ht="12.75" customHeight="1" x14ac:dyDescent="0.2">
      <c r="A26" s="4">
        <f>DATE(YEAR(Labels!B3)+(-2),MONTH(Labels!B3)+(9),1)</f>
        <v>40087</v>
      </c>
      <c r="C26" s="4">
        <f>Labels!B3+(-457)</f>
        <v>40087</v>
      </c>
      <c r="D26" t="e">
        <f t="shared" si="0"/>
        <v>#VALUE!</v>
      </c>
      <c r="F26" t="str">
        <f t="shared" si="1"/>
        <v>MMM 2009</v>
      </c>
      <c r="G26" t="str">
        <f>"Q"&amp;(TRUNC((MONTH(A26)-1)/3)+1)&amp;" "&amp;YEAR(A26)</f>
        <v>Q4 2009</v>
      </c>
    </row>
    <row r="27" spans="1:8" ht="12.75" customHeight="1" x14ac:dyDescent="0.2">
      <c r="A27" s="4">
        <f>DATE(YEAR(Labels!B3)+(-2),MONTH(Labels!B3)+(10),1)</f>
        <v>40118</v>
      </c>
      <c r="B27" s="4">
        <f>A3+(-420)</f>
        <v>40118</v>
      </c>
      <c r="C27" s="4">
        <f>Labels!B3+(-426)</f>
        <v>40118</v>
      </c>
      <c r="D27" t="e">
        <f t="shared" si="0"/>
        <v>#VALUE!</v>
      </c>
      <c r="E27" t="e">
        <f>"W "&amp;TEXT(B27,"m/d/yyyy")</f>
        <v>#VALUE!</v>
      </c>
      <c r="F27" t="str">
        <f t="shared" si="1"/>
        <v>MMM 2009</v>
      </c>
    </row>
    <row r="28" spans="1:8" ht="12.75" customHeight="1" x14ac:dyDescent="0.2">
      <c r="A28" s="4">
        <f>DATE(YEAR(Labels!B3)+(-2),MONTH(Labels!B3)+(11),1)</f>
        <v>40148</v>
      </c>
      <c r="C28" s="4">
        <f>Labels!B3+(-396)</f>
        <v>40148</v>
      </c>
      <c r="D28" t="e">
        <f t="shared" si="0"/>
        <v>#VALUE!</v>
      </c>
      <c r="F28" t="str">
        <f t="shared" si="1"/>
        <v>MMM 2009</v>
      </c>
    </row>
    <row r="29" spans="1:8" ht="12.75" customHeight="1" x14ac:dyDescent="0.2">
      <c r="A29" s="4">
        <f>DATE(YEAR(Labels!B3)+(-1),MONTH(Labels!B3)+(0),1)</f>
        <v>40179</v>
      </c>
      <c r="C29" s="4">
        <f>Labels!B3+(-365)</f>
        <v>40179</v>
      </c>
      <c r="D29" t="e">
        <f t="shared" si="0"/>
        <v>#VALUE!</v>
      </c>
      <c r="F29" t="str">
        <f t="shared" si="1"/>
        <v>MMM 2010</v>
      </c>
      <c r="G29" t="str">
        <f>"Q"&amp;(TRUNC((MONTH(A29)-1)/3)+1)&amp;" "&amp;YEAR(A29)</f>
        <v>Q1 2010</v>
      </c>
      <c r="H29" t="str">
        <f>TEXT(YEAR(A29),"0000")</f>
        <v>2010</v>
      </c>
    </row>
    <row r="30" spans="1:8" ht="12.75" customHeight="1" x14ac:dyDescent="0.2">
      <c r="A30" s="4">
        <f>DATE(YEAR(Labels!B3)+(-1),MONTH(Labels!B3)+(1),1)</f>
        <v>40210</v>
      </c>
      <c r="C30" s="4">
        <f>Labels!B3+(-334)</f>
        <v>40210</v>
      </c>
      <c r="D30" t="e">
        <f t="shared" si="0"/>
        <v>#VALUE!</v>
      </c>
      <c r="F30" t="str">
        <f t="shared" si="1"/>
        <v>MMM 2010</v>
      </c>
    </row>
    <row r="31" spans="1:8" ht="12.75" customHeight="1" x14ac:dyDescent="0.2">
      <c r="A31" s="4">
        <f>DATE(YEAR(Labels!B3)+(-1),MONTH(Labels!B3)+(2),1)</f>
        <v>40238</v>
      </c>
      <c r="C31" s="4">
        <f>Labels!B3+(-306)</f>
        <v>40238</v>
      </c>
      <c r="D31" t="e">
        <f t="shared" si="0"/>
        <v>#VALUE!</v>
      </c>
      <c r="F31" t="str">
        <f t="shared" si="1"/>
        <v>MMM 2010</v>
      </c>
    </row>
    <row r="32" spans="1:8" ht="12.75" customHeight="1" x14ac:dyDescent="0.2">
      <c r="A32" s="4">
        <f>DATE(YEAR(Labels!B3)+(-1),MONTH(Labels!B3)+(3),1)</f>
        <v>40269</v>
      </c>
      <c r="C32" s="4">
        <f>Labels!B3+(-275)</f>
        <v>40269</v>
      </c>
      <c r="D32" t="e">
        <f t="shared" si="0"/>
        <v>#VALUE!</v>
      </c>
      <c r="F32" t="str">
        <f t="shared" si="1"/>
        <v>MMM 2010</v>
      </c>
      <c r="G32" t="str">
        <f>"Q"&amp;(TRUNC((MONTH(A32)-1)/3)+1)&amp;" "&amp;YEAR(A32)</f>
        <v>Q2 2010</v>
      </c>
    </row>
    <row r="33" spans="1:8" ht="12.75" customHeight="1" x14ac:dyDescent="0.2">
      <c r="A33" s="4">
        <f>DATE(YEAR(Labels!B3)+(-1),MONTH(Labels!B3)+(4),1)</f>
        <v>40299</v>
      </c>
      <c r="C33" s="4">
        <f>Labels!B3+(-245)</f>
        <v>40299</v>
      </c>
      <c r="D33" t="e">
        <f t="shared" si="0"/>
        <v>#VALUE!</v>
      </c>
      <c r="F33" t="str">
        <f t="shared" si="1"/>
        <v>MMM 2010</v>
      </c>
    </row>
    <row r="34" spans="1:8" ht="12.75" customHeight="1" x14ac:dyDescent="0.2">
      <c r="A34" s="4">
        <f>DATE(YEAR(Labels!B3)+(-1),MONTH(Labels!B3)+(5),1)</f>
        <v>40330</v>
      </c>
      <c r="C34" s="4">
        <f>Labels!B3+(-214)</f>
        <v>40330</v>
      </c>
      <c r="D34" t="e">
        <f t="shared" si="0"/>
        <v>#VALUE!</v>
      </c>
      <c r="F34" t="str">
        <f t="shared" si="1"/>
        <v>MMM 2010</v>
      </c>
    </row>
    <row r="35" spans="1:8" ht="12.75" customHeight="1" x14ac:dyDescent="0.2">
      <c r="A35" s="4">
        <f>DATE(YEAR(Labels!B3)+(-1),MONTH(Labels!B3)+(6),1)</f>
        <v>40360</v>
      </c>
      <c r="C35" s="4">
        <f>Labels!B3+(-184)</f>
        <v>40360</v>
      </c>
      <c r="D35" t="e">
        <f t="shared" si="0"/>
        <v>#VALUE!</v>
      </c>
      <c r="F35" t="str">
        <f t="shared" si="1"/>
        <v>MMM 2010</v>
      </c>
      <c r="G35" t="str">
        <f>"Q"&amp;(TRUNC((MONTH(A35)-1)/3)+1)&amp;" "&amp;YEAR(A35)</f>
        <v>Q3 2010</v>
      </c>
    </row>
    <row r="36" spans="1:8" ht="12.75" customHeight="1" x14ac:dyDescent="0.2">
      <c r="A36" s="4">
        <f>DATE(YEAR(Labels!B3)+(-1),MONTH(Labels!B3)+(7),1)</f>
        <v>40391</v>
      </c>
      <c r="B36" s="4">
        <f>A3+(-147)</f>
        <v>40391</v>
      </c>
      <c r="C36" s="4">
        <f>Labels!B3+(-153)</f>
        <v>40391</v>
      </c>
      <c r="D36" t="e">
        <f t="shared" si="0"/>
        <v>#VALUE!</v>
      </c>
      <c r="E36" t="e">
        <f>"W "&amp;TEXT(B36,"m/d/yyyy")</f>
        <v>#VALUE!</v>
      </c>
      <c r="F36" t="str">
        <f t="shared" si="1"/>
        <v>MMM 2010</v>
      </c>
    </row>
    <row r="37" spans="1:8" ht="12.75" customHeight="1" x14ac:dyDescent="0.2">
      <c r="A37" s="4">
        <f>DATE(YEAR(Labels!B3)+(-1),MONTH(Labels!B3)+(8),1)</f>
        <v>40422</v>
      </c>
      <c r="C37" s="4">
        <f>Labels!B3+(-122)</f>
        <v>40422</v>
      </c>
      <c r="D37" t="e">
        <f t="shared" si="0"/>
        <v>#VALUE!</v>
      </c>
      <c r="F37" t="str">
        <f t="shared" si="1"/>
        <v>MMM 2010</v>
      </c>
    </row>
    <row r="38" spans="1:8" ht="12.75" customHeight="1" x14ac:dyDescent="0.2">
      <c r="A38" s="4">
        <f>DATE(YEAR(Labels!B3)+(-1),MONTH(Labels!B3)+(9),1)</f>
        <v>40452</v>
      </c>
      <c r="C38" s="4">
        <f>Labels!B3+(-92)</f>
        <v>40452</v>
      </c>
      <c r="D38" t="e">
        <f t="shared" si="0"/>
        <v>#VALUE!</v>
      </c>
      <c r="F38" t="str">
        <f t="shared" si="1"/>
        <v>MMM 2010</v>
      </c>
      <c r="G38" t="str">
        <f>"Q"&amp;(TRUNC((MONTH(A38)-1)/3)+1)&amp;" "&amp;YEAR(A38)</f>
        <v>Q4 2010</v>
      </c>
    </row>
    <row r="39" spans="1:8" ht="12.75" customHeight="1" x14ac:dyDescent="0.2">
      <c r="A39" s="4">
        <f>DATE(YEAR(Labels!B3)+(-1),MONTH(Labels!B3)+(10),1)</f>
        <v>40483</v>
      </c>
      <c r="C39" s="4">
        <f>Labels!B3+(-61)</f>
        <v>40483</v>
      </c>
      <c r="D39" t="e">
        <f t="shared" si="0"/>
        <v>#VALUE!</v>
      </c>
      <c r="F39" t="str">
        <f t="shared" si="1"/>
        <v>MMM 2010</v>
      </c>
    </row>
    <row r="40" spans="1:8" ht="12.75" customHeight="1" x14ac:dyDescent="0.2">
      <c r="A40" s="4">
        <f>DATE(YEAR(Labels!B3)+(-1),MONTH(Labels!B3)+(11),1)</f>
        <v>40513</v>
      </c>
      <c r="C40" s="4">
        <f>Labels!B3+(-31)</f>
        <v>40513</v>
      </c>
      <c r="D40" t="e">
        <f t="shared" si="0"/>
        <v>#VALUE!</v>
      </c>
      <c r="F40" t="str">
        <f t="shared" si="1"/>
        <v>MMM 2010</v>
      </c>
    </row>
    <row r="41" spans="1:8" ht="12.75" customHeight="1" x14ac:dyDescent="0.2">
      <c r="A41" s="4">
        <f>DATE(YEAR(Labels!B3)+(0),MONTH(Labels!B3)+(0),1)</f>
        <v>40544</v>
      </c>
      <c r="C41" s="4">
        <f>Labels!B3+(0)</f>
        <v>40544</v>
      </c>
      <c r="D41" t="e">
        <f t="shared" si="0"/>
        <v>#VALUE!</v>
      </c>
      <c r="F41" t="str">
        <f t="shared" si="1"/>
        <v>MMM 2011</v>
      </c>
      <c r="G41" t="str">
        <f>"Q"&amp;(TRUNC((MONTH(A41)-1)/3)+1)&amp;" "&amp;YEAR(A41)</f>
        <v>Q1 2011</v>
      </c>
      <c r="H41" t="str">
        <f>TEXT(YEAR(A41),"0000")</f>
        <v>2011</v>
      </c>
    </row>
    <row r="42" spans="1:8" ht="12.75" customHeight="1" x14ac:dyDescent="0.2">
      <c r="A42" s="4">
        <f>DATE(YEAR(Labels!B3)+(0),MONTH(Labels!B3)+(1),1)</f>
        <v>40575</v>
      </c>
      <c r="C42" s="4">
        <f>Labels!B3+(31)</f>
        <v>40575</v>
      </c>
      <c r="D42" t="e">
        <f t="shared" si="0"/>
        <v>#VALUE!</v>
      </c>
      <c r="F42" t="str">
        <f t="shared" si="1"/>
        <v>MMM 2011</v>
      </c>
    </row>
    <row r="43" spans="1:8" ht="12.75" customHeight="1" x14ac:dyDescent="0.2">
      <c r="A43" s="4">
        <f>DATE(YEAR(Labels!B3)+(0),MONTH(Labels!B3)+(2),1)</f>
        <v>40603</v>
      </c>
      <c r="C43" s="4">
        <f>Labels!B3+(59)</f>
        <v>40603</v>
      </c>
      <c r="D43" t="e">
        <f t="shared" si="0"/>
        <v>#VALUE!</v>
      </c>
      <c r="F43" t="str">
        <f t="shared" si="1"/>
        <v>MMM 2011</v>
      </c>
    </row>
    <row r="44" spans="1:8" ht="12.75" customHeight="1" x14ac:dyDescent="0.2">
      <c r="A44" s="4">
        <f>DATE(YEAR(Labels!B3)+(0),MONTH(Labels!B3)+(3),1)</f>
        <v>40634</v>
      </c>
      <c r="C44" s="4">
        <f>Labels!B3+(90)</f>
        <v>40634</v>
      </c>
      <c r="D44" t="e">
        <f t="shared" si="0"/>
        <v>#VALUE!</v>
      </c>
      <c r="F44" t="str">
        <f t="shared" si="1"/>
        <v>MMM 2011</v>
      </c>
      <c r="G44" t="str">
        <f>"Q"&amp;(TRUNC((MONTH(A44)-1)/3)+1)&amp;" "&amp;YEAR(A44)</f>
        <v>Q2 2011</v>
      </c>
    </row>
    <row r="45" spans="1:8" ht="12.75" customHeight="1" x14ac:dyDescent="0.2">
      <c r="A45" s="4">
        <f>DATE(YEAR(Labels!B3)+(0),MONTH(Labels!B3)+(4),1)</f>
        <v>40664</v>
      </c>
      <c r="B45" s="4">
        <f>A3+(126)</f>
        <v>40664</v>
      </c>
      <c r="C45" s="4">
        <f>Labels!B3+(120)</f>
        <v>40664</v>
      </c>
      <c r="D45" t="e">
        <f t="shared" si="0"/>
        <v>#VALUE!</v>
      </c>
      <c r="E45" t="e">
        <f>"W "&amp;TEXT(B45,"m/d/yyyy")</f>
        <v>#VALUE!</v>
      </c>
      <c r="F45" t="str">
        <f t="shared" si="1"/>
        <v>MMM 2011</v>
      </c>
    </row>
    <row r="46" spans="1:8" ht="12.75" customHeight="1" x14ac:dyDescent="0.2">
      <c r="A46" s="4">
        <f>DATE(YEAR(Labels!B3)+(0),MONTH(Labels!B3)+(5),1)</f>
        <v>40695</v>
      </c>
      <c r="C46" s="4">
        <f>Labels!B3+(151)</f>
        <v>40695</v>
      </c>
      <c r="D46" t="e">
        <f t="shared" si="0"/>
        <v>#VALUE!</v>
      </c>
      <c r="F46" t="str">
        <f t="shared" si="1"/>
        <v>MMM 2011</v>
      </c>
    </row>
    <row r="47" spans="1:8" ht="12.75" customHeight="1" x14ac:dyDescent="0.2">
      <c r="A47" s="4">
        <f>DATE(YEAR(Labels!B3)+(0),MONTH(Labels!B3)+(6),1)</f>
        <v>40725</v>
      </c>
      <c r="C47" s="4">
        <f>Labels!B3+(181)</f>
        <v>40725</v>
      </c>
      <c r="D47" t="e">
        <f t="shared" si="0"/>
        <v>#VALUE!</v>
      </c>
      <c r="F47" t="str">
        <f t="shared" si="1"/>
        <v>MMM 2011</v>
      </c>
      <c r="G47" t="str">
        <f>"Q"&amp;(TRUNC((MONTH(A47)-1)/3)+1)&amp;" "&amp;YEAR(A47)</f>
        <v>Q3 2011</v>
      </c>
    </row>
    <row r="48" spans="1:8" ht="12.75" customHeight="1" x14ac:dyDescent="0.2">
      <c r="A48" s="4">
        <f>DATE(YEAR(Labels!B3)+(1),MONTH(Labels!B3)+(0),1)</f>
        <v>40909</v>
      </c>
      <c r="B48" s="4">
        <f>A3+(371)</f>
        <v>40909</v>
      </c>
      <c r="C48" s="4">
        <f>Labels!B3+(365)</f>
        <v>40909</v>
      </c>
      <c r="D48" t="e">
        <f t="shared" si="0"/>
        <v>#VALUE!</v>
      </c>
      <c r="E48" t="e">
        <f>"W "&amp;TEXT(B48,"m/d/yyyy")</f>
        <v>#VALUE!</v>
      </c>
      <c r="F48" t="str">
        <f t="shared" si="1"/>
        <v>MMM 2012</v>
      </c>
      <c r="G48" t="str">
        <f>"Q"&amp;(TRUNC((MONTH(A48)-1)/3)+1)&amp;" "&amp;YEAR(A48)</f>
        <v>Q1 2012</v>
      </c>
      <c r="H48" t="str">
        <f>TEXT(YEAR(A48),"0000")</f>
        <v>2012</v>
      </c>
    </row>
    <row r="51" spans="1:2" ht="12.75" customHeight="1" x14ac:dyDescent="0.2">
      <c r="A51" s="1">
        <f>Inputs!D171</f>
        <v>30</v>
      </c>
      <c r="B51" s="1">
        <f>Inputs!D172</f>
        <v>30</v>
      </c>
    </row>
    <row r="52" spans="1:2" ht="12.75" customHeight="1" x14ac:dyDescent="0.2">
      <c r="A52" s="1">
        <f>'Cogs GM'!B64</f>
        <v>0</v>
      </c>
      <c r="B52" s="1">
        <f>'Cogs GM'!B80</f>
        <v>0</v>
      </c>
    </row>
    <row r="53" spans="1:2" ht="12.75" customHeight="1" x14ac:dyDescent="0.2">
      <c r="A53">
        <f>SUMPRODUCT(A51:B51,A52:B52)</f>
        <v>0</v>
      </c>
    </row>
    <row r="55" spans="1:2" ht="12.75" customHeight="1" x14ac:dyDescent="0.2">
      <c r="A55" s="1">
        <f>Inputs!E171</f>
        <v>30</v>
      </c>
      <c r="B55" s="1">
        <f>Inputs!E172</f>
        <v>30</v>
      </c>
    </row>
    <row r="56" spans="1:2" ht="12.75" customHeight="1" x14ac:dyDescent="0.2">
      <c r="A56" s="1">
        <f>'Cogs GM'!C64</f>
        <v>0</v>
      </c>
      <c r="B56" s="1">
        <f>'Cogs GM'!C80</f>
        <v>0</v>
      </c>
    </row>
    <row r="57" spans="1:2" ht="12.75" customHeight="1" x14ac:dyDescent="0.2">
      <c r="A57">
        <f>SUMPRODUCT(A55:B55,A56:B56)</f>
        <v>0</v>
      </c>
    </row>
    <row r="59" spans="1:2" ht="12.75" customHeight="1" x14ac:dyDescent="0.2">
      <c r="A59" s="1">
        <f>Inputs!F171</f>
        <v>30</v>
      </c>
      <c r="B59" s="1">
        <f>Inputs!F172</f>
        <v>30</v>
      </c>
    </row>
    <row r="60" spans="1:2" ht="12.75" customHeight="1" x14ac:dyDescent="0.2">
      <c r="A60" s="1">
        <f>'Cogs GM'!D64</f>
        <v>0</v>
      </c>
      <c r="B60" s="1">
        <f>'Cogs GM'!D80</f>
        <v>0</v>
      </c>
    </row>
    <row r="61" spans="1:2" ht="12.75" customHeight="1" x14ac:dyDescent="0.2">
      <c r="A61">
        <f>SUMPRODUCT(A59:B59,A60:B60)</f>
        <v>0</v>
      </c>
    </row>
    <row r="63" spans="1:2" ht="12.75" customHeight="1" x14ac:dyDescent="0.2">
      <c r="A63" s="1">
        <f>Inputs!G171</f>
        <v>30</v>
      </c>
      <c r="B63" s="1">
        <f>Inputs!G172</f>
        <v>30</v>
      </c>
    </row>
    <row r="64" spans="1:2" ht="12.75" customHeight="1" x14ac:dyDescent="0.2">
      <c r="A64" s="1">
        <f>'Cogs GM'!E64</f>
        <v>0</v>
      </c>
      <c r="B64" s="1">
        <f>'Cogs GM'!E80</f>
        <v>0</v>
      </c>
    </row>
    <row r="65" spans="1:2" ht="12.75" customHeight="1" x14ac:dyDescent="0.2">
      <c r="A65">
        <f>SUMPRODUCT(A63:B63,A64:B64)</f>
        <v>0</v>
      </c>
    </row>
    <row r="67" spans="1:2" ht="12.75" customHeight="1" x14ac:dyDescent="0.2">
      <c r="A67" s="1">
        <f>Inputs!H171</f>
        <v>30</v>
      </c>
      <c r="B67" s="1">
        <f>Inputs!H172</f>
        <v>30</v>
      </c>
    </row>
    <row r="68" spans="1:2" ht="12.75" customHeight="1" x14ac:dyDescent="0.2">
      <c r="A68" s="1">
        <f>'Cogs GM'!F64</f>
        <v>0</v>
      </c>
      <c r="B68" s="1">
        <f>'Cogs GM'!F80</f>
        <v>0</v>
      </c>
    </row>
    <row r="69" spans="1:2" ht="12.75" customHeight="1" x14ac:dyDescent="0.2">
      <c r="A69">
        <f>SUMPRODUCT(A67:B67,A68:B68)</f>
        <v>0</v>
      </c>
    </row>
    <row r="71" spans="1:2" ht="12.75" customHeight="1" x14ac:dyDescent="0.2">
      <c r="A71" s="1">
        <f>Inputs!I171</f>
        <v>30</v>
      </c>
      <c r="B71" s="1">
        <f>Inputs!I172</f>
        <v>30</v>
      </c>
    </row>
    <row r="72" spans="1:2" ht="12.75" customHeight="1" x14ac:dyDescent="0.2">
      <c r="A72" s="1">
        <f>'Cogs GM'!G64</f>
        <v>0</v>
      </c>
      <c r="B72" s="1">
        <f>'Cogs GM'!G80</f>
        <v>0</v>
      </c>
    </row>
    <row r="73" spans="1:2" ht="12.75" customHeight="1" x14ac:dyDescent="0.2">
      <c r="A73">
        <f>SUMPRODUCT(A71:B71,A72:B72)</f>
        <v>0</v>
      </c>
    </row>
  </sheetData>
  <mergeCells count="2">
    <mergeCell ref="A1:D1"/>
    <mergeCell ref="A2:D2"/>
  </mergeCells>
  <pageMargins left="0.25" right="0.25" top="0.5" bottom="0.5" header="0.5" footer="0.5"/>
  <pageSetup paperSize="9" fitToHeight="32767"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9.140625" defaultRowHeight="12.75" x14ac:dyDescent="0.2"/>
  <sheetData>
    <row r="1" ht="12.75" customHeight="1" x14ac:dyDescent="0.2"/>
  </sheetData>
  <printOptions horizontalCentered="1"/>
  <pageMargins left="0.25" right="0.25" top="0.5" bottom="0.5" header="0.25" footer="0.25"/>
  <pageSetup orientation="landscape"/>
  <headerFooter scaleWithDoc="0" alignWithMargins="0">
    <oddFooter>&amp;C</oddFooter>
  </headerFooter>
  <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AQ418"/>
  <sheetViews>
    <sheetView zoomScaleNormal="100" workbookViewId="0"/>
  </sheetViews>
  <sheetFormatPr defaultRowHeight="12.75" customHeight="1" x14ac:dyDescent="0.2"/>
  <cols>
    <col min="1" max="1" width="25" customWidth="1"/>
    <col min="2" max="4" width="9.7109375" customWidth="1"/>
    <col min="5" max="5" width="8.5703125" customWidth="1"/>
    <col min="6" max="6" width="8.85546875" customWidth="1"/>
    <col min="7" max="8" width="8.7109375" customWidth="1"/>
    <col min="9" max="9" width="9" customWidth="1"/>
    <col min="10" max="10" width="8.7109375" customWidth="1"/>
    <col min="11" max="11" width="8.5703125" customWidth="1"/>
    <col min="12" max="12" width="8.85546875" customWidth="1"/>
    <col min="13" max="13" width="8.7109375" customWidth="1"/>
    <col min="14" max="14" width="8.5703125" customWidth="1"/>
    <col min="15" max="15" width="8.7109375" customWidth="1"/>
    <col min="16" max="17" width="8.5703125" customWidth="1"/>
    <col min="18" max="18" width="8.85546875" customWidth="1"/>
    <col min="19" max="19" width="8.7109375" customWidth="1"/>
    <col min="20" max="20" width="8.140625" customWidth="1"/>
    <col min="21" max="21" width="9" customWidth="1"/>
    <col min="22" max="22" width="8.7109375" customWidth="1"/>
    <col min="23" max="23" width="8.5703125" customWidth="1"/>
    <col min="24" max="24" width="8.85546875" customWidth="1"/>
    <col min="25" max="25" width="8.7109375" customWidth="1"/>
    <col min="26" max="26" width="8.5703125" customWidth="1"/>
    <col min="27" max="27" width="8.7109375" customWidth="1"/>
    <col min="28" max="29" width="8.5703125" customWidth="1"/>
    <col min="30" max="30" width="8.85546875" customWidth="1"/>
    <col min="31" max="31" width="8.7109375" customWidth="1"/>
    <col min="32" max="32" width="8.140625" customWidth="1"/>
    <col min="33" max="33" width="9" customWidth="1"/>
    <col min="34" max="34" width="8.7109375" customWidth="1"/>
    <col min="35" max="35" width="8.5703125" customWidth="1"/>
    <col min="36" max="36" width="8.85546875" customWidth="1"/>
    <col min="37" max="37" width="8.7109375" customWidth="1"/>
    <col min="38" max="38" width="8.5703125" customWidth="1"/>
    <col min="39" max="39" width="8.7109375" customWidth="1"/>
    <col min="40" max="41" width="8.5703125" customWidth="1"/>
    <col min="42" max="42" width="8.85546875" customWidth="1"/>
    <col min="43" max="43" width="8.7109375" customWidth="1"/>
  </cols>
  <sheetData>
    <row r="1" spans="1:7" ht="12.75" customHeight="1" x14ac:dyDescent="0.2">
      <c r="A1" s="320" t="str">
        <f>Inputs!D7</f>
        <v>ABC Corp.</v>
      </c>
      <c r="B1" s="320"/>
      <c r="C1" s="320"/>
      <c r="D1" s="320"/>
    </row>
    <row r="2" spans="1:7" ht="12.75" customHeight="1" x14ac:dyDescent="0.2">
      <c r="A2" s="320" t="e">
        <f>TEXT('(FnCalls 1)'!A41,"m/d/yyyy")&amp;" to "&amp;TEXT('(FnCalls 1)'!A47-1,"m/d/yyyy")&amp;", Scenario "&amp;1</f>
        <v>#VALUE!</v>
      </c>
      <c r="B2" s="320"/>
      <c r="C2" s="320"/>
      <c r="D2" s="320"/>
    </row>
    <row r="3" spans="1:7" ht="12.75" customHeight="1" x14ac:dyDescent="0.2">
      <c r="A3" s="1" t="str">
        <f>Labels!B148</f>
        <v>Sales Units, Products</v>
      </c>
    </row>
    <row r="4" spans="1:7" ht="12.75" customHeight="1" x14ac:dyDescent="0.2">
      <c r="B4" s="10" t="str">
        <f>'(FnCalls 1)'!F41</f>
        <v>MMM 2011</v>
      </c>
      <c r="C4" s="11" t="str">
        <f>'(FnCalls 1)'!F42</f>
        <v>MMM 2011</v>
      </c>
      <c r="D4" s="11" t="str">
        <f>'(FnCalls 1)'!F43</f>
        <v>MMM 2011</v>
      </c>
      <c r="E4" s="11" t="str">
        <f>'(FnCalls 1)'!F44</f>
        <v>MMM 2011</v>
      </c>
      <c r="F4" s="11" t="str">
        <f>'(FnCalls 1)'!F45</f>
        <v>MMM 2011</v>
      </c>
      <c r="G4" s="12" t="str">
        <f>'(FnCalls 1)'!F46</f>
        <v>MMM 2011</v>
      </c>
    </row>
    <row r="5" spans="1:7" ht="12.75" customHeight="1" x14ac:dyDescent="0.2">
      <c r="A5" s="128" t="str">
        <f>Labels!B255</f>
        <v>Product 1</v>
      </c>
      <c r="B5" s="169"/>
      <c r="C5" s="169"/>
      <c r="D5" s="169"/>
      <c r="E5" s="169"/>
      <c r="F5" s="169"/>
      <c r="G5" s="228"/>
    </row>
    <row r="6" spans="1:7" ht="12.75" customHeight="1" x14ac:dyDescent="0.2">
      <c r="A6" s="142" t="str">
        <f>"   "&amp;Labels!B259</f>
        <v xml:space="preserve">   Location 1</v>
      </c>
      <c r="B6" s="171">
        <f>Inputs!D18</f>
        <v>0</v>
      </c>
      <c r="C6" s="171">
        <f>Inputs!E18</f>
        <v>0</v>
      </c>
      <c r="D6" s="171">
        <f>Inputs!F18</f>
        <v>0</v>
      </c>
      <c r="E6" s="171">
        <f>Inputs!G18</f>
        <v>0</v>
      </c>
      <c r="F6" s="171">
        <f>Inputs!H18</f>
        <v>0</v>
      </c>
      <c r="G6" s="229">
        <f>Inputs!I18</f>
        <v>0</v>
      </c>
    </row>
    <row r="7" spans="1:7" ht="12.75" customHeight="1" x14ac:dyDescent="0.2">
      <c r="A7" s="142" t="str">
        <f>"   "&amp;Labels!B260</f>
        <v xml:space="preserve">   Location 2</v>
      </c>
      <c r="B7" s="171">
        <f>Inputs!D19</f>
        <v>0</v>
      </c>
      <c r="C7" s="171">
        <f>Inputs!E19</f>
        <v>0</v>
      </c>
      <c r="D7" s="171">
        <f>Inputs!F19</f>
        <v>0</v>
      </c>
      <c r="E7" s="171">
        <f>Inputs!G19</f>
        <v>0</v>
      </c>
      <c r="F7" s="171">
        <f>Inputs!H19</f>
        <v>0</v>
      </c>
      <c r="G7" s="229">
        <f>Inputs!I19</f>
        <v>0</v>
      </c>
    </row>
    <row r="8" spans="1:7" ht="12.75" customHeight="1" x14ac:dyDescent="0.2">
      <c r="A8" s="134" t="str">
        <f>"   "&amp;Labels!C258</f>
        <v xml:space="preserve">   Total</v>
      </c>
      <c r="B8" s="174">
        <f t="shared" ref="B8:G8" si="0">SUM(B6:B7)</f>
        <v>0</v>
      </c>
      <c r="C8" s="174">
        <f t="shared" si="0"/>
        <v>0</v>
      </c>
      <c r="D8" s="174">
        <f t="shared" si="0"/>
        <v>0</v>
      </c>
      <c r="E8" s="174">
        <f t="shared" si="0"/>
        <v>0</v>
      </c>
      <c r="F8" s="174">
        <f t="shared" si="0"/>
        <v>0</v>
      </c>
      <c r="G8" s="230">
        <f t="shared" si="0"/>
        <v>0</v>
      </c>
    </row>
    <row r="9" spans="1:7" ht="12.75" customHeight="1" x14ac:dyDescent="0.2">
      <c r="A9" s="134" t="str">
        <f>Labels!B256</f>
        <v>Product 2</v>
      </c>
      <c r="B9" s="174"/>
      <c r="C9" s="174"/>
      <c r="D9" s="174"/>
      <c r="E9" s="174"/>
      <c r="F9" s="174"/>
      <c r="G9" s="230"/>
    </row>
    <row r="10" spans="1:7" ht="12.75" customHeight="1" x14ac:dyDescent="0.2">
      <c r="A10" s="142" t="str">
        <f>"   "&amp;Labels!B259</f>
        <v xml:space="preserve">   Location 1</v>
      </c>
      <c r="B10" s="171">
        <f>Inputs!D20</f>
        <v>0</v>
      </c>
      <c r="C10" s="171">
        <f>Inputs!E20</f>
        <v>0</v>
      </c>
      <c r="D10" s="171">
        <f>Inputs!F20</f>
        <v>0</v>
      </c>
      <c r="E10" s="171">
        <f>Inputs!G20</f>
        <v>0</v>
      </c>
      <c r="F10" s="171">
        <f>Inputs!H20</f>
        <v>0</v>
      </c>
      <c r="G10" s="229">
        <f>Inputs!I20</f>
        <v>0</v>
      </c>
    </row>
    <row r="11" spans="1:7" ht="12.75" customHeight="1" x14ac:dyDescent="0.2">
      <c r="A11" s="142" t="str">
        <f>"   "&amp;Labels!B260</f>
        <v xml:space="preserve">   Location 2</v>
      </c>
      <c r="B11" s="171">
        <f>Inputs!D21</f>
        <v>0</v>
      </c>
      <c r="C11" s="171">
        <f>Inputs!E21</f>
        <v>0</v>
      </c>
      <c r="D11" s="171">
        <f>Inputs!F21</f>
        <v>0</v>
      </c>
      <c r="E11" s="171">
        <f>Inputs!G21</f>
        <v>0</v>
      </c>
      <c r="F11" s="171">
        <f>Inputs!H21</f>
        <v>0</v>
      </c>
      <c r="G11" s="229">
        <f>Inputs!I21</f>
        <v>0</v>
      </c>
    </row>
    <row r="12" spans="1:7" ht="12.75" customHeight="1" x14ac:dyDescent="0.2">
      <c r="A12" s="134" t="str">
        <f>"   "&amp;Labels!C258</f>
        <v xml:space="preserve">   Total</v>
      </c>
      <c r="B12" s="174">
        <f t="shared" ref="B12:G12" si="1">SUM(B10:B11)</f>
        <v>0</v>
      </c>
      <c r="C12" s="174">
        <f t="shared" si="1"/>
        <v>0</v>
      </c>
      <c r="D12" s="174">
        <f t="shared" si="1"/>
        <v>0</v>
      </c>
      <c r="E12" s="174">
        <f t="shared" si="1"/>
        <v>0</v>
      </c>
      <c r="F12" s="174">
        <f t="shared" si="1"/>
        <v>0</v>
      </c>
      <c r="G12" s="230">
        <f t="shared" si="1"/>
        <v>0</v>
      </c>
    </row>
    <row r="13" spans="1:7" ht="12.75" customHeight="1" x14ac:dyDescent="0.2">
      <c r="A13" s="91" t="str">
        <f>Labels!C254</f>
        <v>Total</v>
      </c>
      <c r="B13" s="231">
        <f t="shared" ref="B13:G13" si="2">SUM(B8,B12)</f>
        <v>0</v>
      </c>
      <c r="C13" s="231">
        <f t="shared" si="2"/>
        <v>0</v>
      </c>
      <c r="D13" s="231">
        <f t="shared" si="2"/>
        <v>0</v>
      </c>
      <c r="E13" s="231">
        <f t="shared" si="2"/>
        <v>0</v>
      </c>
      <c r="F13" s="231">
        <f t="shared" si="2"/>
        <v>0</v>
      </c>
      <c r="G13" s="232">
        <f t="shared" si="2"/>
        <v>0</v>
      </c>
    </row>
    <row r="14" spans="1:7" ht="12.75" customHeight="1" x14ac:dyDescent="0.2">
      <c r="A14" s="142" t="str">
        <f>"   "&amp;Labels!B259</f>
        <v xml:space="preserve">   Location 1</v>
      </c>
      <c r="B14" s="171">
        <f t="shared" ref="B14:G16" si="3">SUM(B6,B10)</f>
        <v>0</v>
      </c>
      <c r="C14" s="171">
        <f t="shared" si="3"/>
        <v>0</v>
      </c>
      <c r="D14" s="171">
        <f t="shared" si="3"/>
        <v>0</v>
      </c>
      <c r="E14" s="171">
        <f t="shared" si="3"/>
        <v>0</v>
      </c>
      <c r="F14" s="171">
        <f t="shared" si="3"/>
        <v>0</v>
      </c>
      <c r="G14" s="229">
        <f t="shared" si="3"/>
        <v>0</v>
      </c>
    </row>
    <row r="15" spans="1:7" ht="12.75" customHeight="1" x14ac:dyDescent="0.2">
      <c r="A15" s="142" t="str">
        <f>"   "&amp;Labels!B260</f>
        <v xml:space="preserve">   Location 2</v>
      </c>
      <c r="B15" s="171">
        <f t="shared" si="3"/>
        <v>0</v>
      </c>
      <c r="C15" s="171">
        <f t="shared" si="3"/>
        <v>0</v>
      </c>
      <c r="D15" s="171">
        <f t="shared" si="3"/>
        <v>0</v>
      </c>
      <c r="E15" s="171">
        <f t="shared" si="3"/>
        <v>0</v>
      </c>
      <c r="F15" s="171">
        <f t="shared" si="3"/>
        <v>0</v>
      </c>
      <c r="G15" s="229">
        <f t="shared" si="3"/>
        <v>0</v>
      </c>
    </row>
    <row r="16" spans="1:7" ht="12.75" customHeight="1" x14ac:dyDescent="0.2">
      <c r="A16" s="131" t="str">
        <f>"   "&amp;Labels!C258</f>
        <v xml:space="preserve">   Total</v>
      </c>
      <c r="B16" s="177">
        <f t="shared" si="3"/>
        <v>0</v>
      </c>
      <c r="C16" s="177">
        <f t="shared" si="3"/>
        <v>0</v>
      </c>
      <c r="D16" s="177">
        <f t="shared" si="3"/>
        <v>0</v>
      </c>
      <c r="E16" s="177">
        <f t="shared" si="3"/>
        <v>0</v>
      </c>
      <c r="F16" s="177">
        <f t="shared" si="3"/>
        <v>0</v>
      </c>
      <c r="G16" s="233">
        <f t="shared" si="3"/>
        <v>0</v>
      </c>
    </row>
    <row r="17" spans="1:7" ht="12.75" customHeight="1" x14ac:dyDescent="0.2">
      <c r="A17" s="1" t="str">
        <f>Labels!B146</f>
        <v>Product Sales Unit Growth</v>
      </c>
    </row>
    <row r="18" spans="1:7" ht="12.75" customHeight="1" x14ac:dyDescent="0.2">
      <c r="B18" s="10" t="str">
        <f>'(FnCalls 1)'!F41</f>
        <v>MMM 2011</v>
      </c>
      <c r="C18" s="11" t="str">
        <f>'(FnCalls 1)'!F42</f>
        <v>MMM 2011</v>
      </c>
      <c r="D18" s="11" t="str">
        <f>'(FnCalls 1)'!F43</f>
        <v>MMM 2011</v>
      </c>
      <c r="E18" s="11" t="str">
        <f>'(FnCalls 1)'!F44</f>
        <v>MMM 2011</v>
      </c>
      <c r="F18" s="11" t="str">
        <f>'(FnCalls 1)'!F45</f>
        <v>MMM 2011</v>
      </c>
      <c r="G18" s="12" t="str">
        <f>'(FnCalls 1)'!F46</f>
        <v>MMM 2011</v>
      </c>
    </row>
    <row r="19" spans="1:7" ht="12.75" customHeight="1" x14ac:dyDescent="0.2">
      <c r="A19" s="128" t="str">
        <f>Labels!B255</f>
        <v>Product 1</v>
      </c>
      <c r="B19" s="165"/>
      <c r="C19" s="165"/>
      <c r="D19" s="165"/>
      <c r="E19" s="165"/>
      <c r="F19" s="165"/>
      <c r="G19" s="249"/>
    </row>
    <row r="20" spans="1:7" ht="12.75" customHeight="1" x14ac:dyDescent="0.2">
      <c r="A20" s="142" t="str">
        <f>"   "&amp;Labels!B259</f>
        <v xml:space="preserve">   Location 1</v>
      </c>
      <c r="B20" s="166">
        <f t="shared" ref="B20:G21" si="4">(1+IF(1=1,B34,IF(1=2,0,IF(1=3,0,0))))^(1/12)-1</f>
        <v>0</v>
      </c>
      <c r="C20" s="166">
        <f t="shared" si="4"/>
        <v>0</v>
      </c>
      <c r="D20" s="166">
        <f t="shared" si="4"/>
        <v>0</v>
      </c>
      <c r="E20" s="166">
        <f t="shared" si="4"/>
        <v>0</v>
      </c>
      <c r="F20" s="166">
        <f t="shared" si="4"/>
        <v>0</v>
      </c>
      <c r="G20" s="250">
        <f t="shared" si="4"/>
        <v>0</v>
      </c>
    </row>
    <row r="21" spans="1:7" ht="12.75" customHeight="1" x14ac:dyDescent="0.2">
      <c r="A21" s="142" t="str">
        <f>"   "&amp;Labels!B260</f>
        <v xml:space="preserve">   Location 2</v>
      </c>
      <c r="B21" s="166">
        <f t="shared" si="4"/>
        <v>0</v>
      </c>
      <c r="C21" s="166">
        <f t="shared" si="4"/>
        <v>0</v>
      </c>
      <c r="D21" s="166">
        <f t="shared" si="4"/>
        <v>0</v>
      </c>
      <c r="E21" s="166">
        <f t="shared" si="4"/>
        <v>0</v>
      </c>
      <c r="F21" s="166">
        <f t="shared" si="4"/>
        <v>0</v>
      </c>
      <c r="G21" s="250">
        <f t="shared" si="4"/>
        <v>0</v>
      </c>
    </row>
    <row r="22" spans="1:7" ht="12.75" customHeight="1" x14ac:dyDescent="0.2">
      <c r="A22" s="134" t="str">
        <f>"   "&amp;Labels!C258</f>
        <v xml:space="preserve">   Total</v>
      </c>
      <c r="B22" s="167">
        <f t="shared" ref="B22:G22" si="5">AVERAGE(B20:B21)</f>
        <v>0</v>
      </c>
      <c r="C22" s="167">
        <f t="shared" si="5"/>
        <v>0</v>
      </c>
      <c r="D22" s="167">
        <f t="shared" si="5"/>
        <v>0</v>
      </c>
      <c r="E22" s="167">
        <f t="shared" si="5"/>
        <v>0</v>
      </c>
      <c r="F22" s="167">
        <f t="shared" si="5"/>
        <v>0</v>
      </c>
      <c r="G22" s="251">
        <f t="shared" si="5"/>
        <v>0</v>
      </c>
    </row>
    <row r="23" spans="1:7" ht="12.75" customHeight="1" x14ac:dyDescent="0.2">
      <c r="A23" s="134" t="str">
        <f>Labels!B256</f>
        <v>Product 2</v>
      </c>
      <c r="B23" s="167"/>
      <c r="C23" s="167"/>
      <c r="D23" s="167"/>
      <c r="E23" s="167"/>
      <c r="F23" s="167"/>
      <c r="G23" s="251"/>
    </row>
    <row r="24" spans="1:7" ht="12.75" customHeight="1" x14ac:dyDescent="0.2">
      <c r="A24" s="142" t="str">
        <f>"   "&amp;Labels!B259</f>
        <v xml:space="preserve">   Location 1</v>
      </c>
      <c r="B24" s="166">
        <f t="shared" ref="B24:G25" si="6">(1+IF(1=1,B38,IF(1=2,0,IF(1=3,0,0))))^(1/12)-1</f>
        <v>0</v>
      </c>
      <c r="C24" s="166">
        <f t="shared" si="6"/>
        <v>0</v>
      </c>
      <c r="D24" s="166">
        <f t="shared" si="6"/>
        <v>0</v>
      </c>
      <c r="E24" s="166">
        <f t="shared" si="6"/>
        <v>0</v>
      </c>
      <c r="F24" s="166">
        <f t="shared" si="6"/>
        <v>0</v>
      </c>
      <c r="G24" s="250">
        <f t="shared" si="6"/>
        <v>0</v>
      </c>
    </row>
    <row r="25" spans="1:7" ht="12.75" customHeight="1" x14ac:dyDescent="0.2">
      <c r="A25" s="142" t="str">
        <f>"   "&amp;Labels!B260</f>
        <v xml:space="preserve">   Location 2</v>
      </c>
      <c r="B25" s="166">
        <f t="shared" si="6"/>
        <v>0</v>
      </c>
      <c r="C25" s="166">
        <f t="shared" si="6"/>
        <v>0</v>
      </c>
      <c r="D25" s="166">
        <f t="shared" si="6"/>
        <v>0</v>
      </c>
      <c r="E25" s="166">
        <f t="shared" si="6"/>
        <v>0</v>
      </c>
      <c r="F25" s="166">
        <f t="shared" si="6"/>
        <v>0</v>
      </c>
      <c r="G25" s="250">
        <f t="shared" si="6"/>
        <v>0</v>
      </c>
    </row>
    <row r="26" spans="1:7" ht="12.75" customHeight="1" x14ac:dyDescent="0.2">
      <c r="A26" s="134" t="str">
        <f>"   "&amp;Labels!C258</f>
        <v xml:space="preserve">   Total</v>
      </c>
      <c r="B26" s="167">
        <f t="shared" ref="B26:G26" si="7">AVERAGE(B24:B25)</f>
        <v>0</v>
      </c>
      <c r="C26" s="167">
        <f t="shared" si="7"/>
        <v>0</v>
      </c>
      <c r="D26" s="167">
        <f t="shared" si="7"/>
        <v>0</v>
      </c>
      <c r="E26" s="167">
        <f t="shared" si="7"/>
        <v>0</v>
      </c>
      <c r="F26" s="167">
        <f t="shared" si="7"/>
        <v>0</v>
      </c>
      <c r="G26" s="251">
        <f t="shared" si="7"/>
        <v>0</v>
      </c>
    </row>
    <row r="27" spans="1:7" ht="12.75" customHeight="1" x14ac:dyDescent="0.2">
      <c r="A27" s="91" t="str">
        <f>Labels!C254</f>
        <v>Total</v>
      </c>
      <c r="B27" s="161">
        <f t="shared" ref="B27:G27" si="8">AVERAGE(B22,B26)</f>
        <v>0</v>
      </c>
      <c r="C27" s="161">
        <f t="shared" si="8"/>
        <v>0</v>
      </c>
      <c r="D27" s="161">
        <f t="shared" si="8"/>
        <v>0</v>
      </c>
      <c r="E27" s="161">
        <f t="shared" si="8"/>
        <v>0</v>
      </c>
      <c r="F27" s="161">
        <f t="shared" si="8"/>
        <v>0</v>
      </c>
      <c r="G27" s="252">
        <f t="shared" si="8"/>
        <v>0</v>
      </c>
    </row>
    <row r="28" spans="1:7" ht="12.75" customHeight="1" x14ac:dyDescent="0.2">
      <c r="A28" s="142" t="str">
        <f>"   "&amp;Labels!B259</f>
        <v xml:space="preserve">   Location 1</v>
      </c>
      <c r="B28" s="166">
        <f t="shared" ref="B28:G30" si="9">AVERAGE(B20,B24)</f>
        <v>0</v>
      </c>
      <c r="C28" s="166">
        <f t="shared" si="9"/>
        <v>0</v>
      </c>
      <c r="D28" s="166">
        <f t="shared" si="9"/>
        <v>0</v>
      </c>
      <c r="E28" s="166">
        <f t="shared" si="9"/>
        <v>0</v>
      </c>
      <c r="F28" s="166">
        <f t="shared" si="9"/>
        <v>0</v>
      </c>
      <c r="G28" s="250">
        <f t="shared" si="9"/>
        <v>0</v>
      </c>
    </row>
    <row r="29" spans="1:7" ht="12.75" customHeight="1" x14ac:dyDescent="0.2">
      <c r="A29" s="142" t="str">
        <f>"   "&amp;Labels!B260</f>
        <v xml:space="preserve">   Location 2</v>
      </c>
      <c r="B29" s="166">
        <f t="shared" si="9"/>
        <v>0</v>
      </c>
      <c r="C29" s="166">
        <f t="shared" si="9"/>
        <v>0</v>
      </c>
      <c r="D29" s="166">
        <f t="shared" si="9"/>
        <v>0</v>
      </c>
      <c r="E29" s="166">
        <f t="shared" si="9"/>
        <v>0</v>
      </c>
      <c r="F29" s="166">
        <f t="shared" si="9"/>
        <v>0</v>
      </c>
      <c r="G29" s="250">
        <f t="shared" si="9"/>
        <v>0</v>
      </c>
    </row>
    <row r="30" spans="1:7" ht="12.75" customHeight="1" x14ac:dyDescent="0.2">
      <c r="A30" s="131" t="str">
        <f>"   "&amp;Labels!C258</f>
        <v xml:space="preserve">   Total</v>
      </c>
      <c r="B30" s="168">
        <f t="shared" si="9"/>
        <v>0</v>
      </c>
      <c r="C30" s="168">
        <f t="shared" si="9"/>
        <v>0</v>
      </c>
      <c r="D30" s="168">
        <f t="shared" si="9"/>
        <v>0</v>
      </c>
      <c r="E30" s="168">
        <f t="shared" si="9"/>
        <v>0</v>
      </c>
      <c r="F30" s="168">
        <f t="shared" si="9"/>
        <v>0</v>
      </c>
      <c r="G30" s="253">
        <f t="shared" si="9"/>
        <v>0</v>
      </c>
    </row>
    <row r="31" spans="1:7" ht="12.75" customHeight="1" x14ac:dyDescent="0.2">
      <c r="A31" s="1" t="str">
        <f>Labels!B143</f>
        <v>Sales Unit Gr/Yr, Prods</v>
      </c>
    </row>
    <row r="32" spans="1:7" ht="12.75" customHeight="1" x14ac:dyDescent="0.2">
      <c r="B32" s="10" t="str">
        <f>'(FnCalls 1)'!F41</f>
        <v>MMM 2011</v>
      </c>
      <c r="C32" s="11" t="str">
        <f>'(FnCalls 1)'!F42</f>
        <v>MMM 2011</v>
      </c>
      <c r="D32" s="11" t="str">
        <f>'(FnCalls 1)'!F43</f>
        <v>MMM 2011</v>
      </c>
      <c r="E32" s="11" t="str">
        <f>'(FnCalls 1)'!F44</f>
        <v>MMM 2011</v>
      </c>
      <c r="F32" s="11" t="str">
        <f>'(FnCalls 1)'!F45</f>
        <v>MMM 2011</v>
      </c>
      <c r="G32" s="12" t="str">
        <f>'(FnCalls 1)'!F46</f>
        <v>MMM 2011</v>
      </c>
    </row>
    <row r="33" spans="1:7" ht="12.75" customHeight="1" x14ac:dyDescent="0.2">
      <c r="A33" s="128" t="str">
        <f>Labels!B255</f>
        <v>Product 1</v>
      </c>
      <c r="B33" s="165"/>
      <c r="C33" s="165"/>
      <c r="D33" s="165"/>
      <c r="E33" s="165"/>
      <c r="F33" s="165"/>
      <c r="G33" s="249"/>
    </row>
    <row r="34" spans="1:7" ht="12.75" customHeight="1" x14ac:dyDescent="0.2">
      <c r="A34" s="142" t="str">
        <f>"   "&amp;Labels!B259</f>
        <v xml:space="preserve">   Location 1</v>
      </c>
      <c r="B34" s="166">
        <f>Inputs!D23</f>
        <v>0</v>
      </c>
      <c r="C34" s="166">
        <f>Inputs!E23</f>
        <v>0</v>
      </c>
      <c r="D34" s="166">
        <f>Inputs!F23</f>
        <v>0</v>
      </c>
      <c r="E34" s="166">
        <f>Inputs!G23</f>
        <v>0</v>
      </c>
      <c r="F34" s="166">
        <f>Inputs!H23</f>
        <v>0</v>
      </c>
      <c r="G34" s="250">
        <f>Inputs!I23</f>
        <v>0</v>
      </c>
    </row>
    <row r="35" spans="1:7" ht="12.75" customHeight="1" x14ac:dyDescent="0.2">
      <c r="A35" s="142" t="str">
        <f>"   "&amp;Labels!B260</f>
        <v xml:space="preserve">   Location 2</v>
      </c>
      <c r="B35" s="166">
        <f>Inputs!D24</f>
        <v>0</v>
      </c>
      <c r="C35" s="166">
        <f>Inputs!E24</f>
        <v>0</v>
      </c>
      <c r="D35" s="166">
        <f>Inputs!F24</f>
        <v>0</v>
      </c>
      <c r="E35" s="166">
        <f>Inputs!G24</f>
        <v>0</v>
      </c>
      <c r="F35" s="166">
        <f>Inputs!H24</f>
        <v>0</v>
      </c>
      <c r="G35" s="250">
        <f>Inputs!I24</f>
        <v>0</v>
      </c>
    </row>
    <row r="36" spans="1:7" ht="12.75" customHeight="1" x14ac:dyDescent="0.2">
      <c r="A36" s="134" t="str">
        <f>"   "&amp;Labels!C258</f>
        <v xml:space="preserve">   Total</v>
      </c>
      <c r="B36" s="167">
        <f t="shared" ref="B36:G36" si="10">AVERAGE(B34:B35)</f>
        <v>0</v>
      </c>
      <c r="C36" s="167">
        <f t="shared" si="10"/>
        <v>0</v>
      </c>
      <c r="D36" s="167">
        <f t="shared" si="10"/>
        <v>0</v>
      </c>
      <c r="E36" s="167">
        <f t="shared" si="10"/>
        <v>0</v>
      </c>
      <c r="F36" s="167">
        <f t="shared" si="10"/>
        <v>0</v>
      </c>
      <c r="G36" s="251">
        <f t="shared" si="10"/>
        <v>0</v>
      </c>
    </row>
    <row r="37" spans="1:7" ht="12.75" customHeight="1" x14ac:dyDescent="0.2">
      <c r="A37" s="134" t="str">
        <f>Labels!B256</f>
        <v>Product 2</v>
      </c>
      <c r="B37" s="167"/>
      <c r="C37" s="167"/>
      <c r="D37" s="167"/>
      <c r="E37" s="167"/>
      <c r="F37" s="167"/>
      <c r="G37" s="251"/>
    </row>
    <row r="38" spans="1:7" ht="12.75" customHeight="1" x14ac:dyDescent="0.2">
      <c r="A38" s="142" t="str">
        <f>"   "&amp;Labels!B259</f>
        <v xml:space="preserve">   Location 1</v>
      </c>
      <c r="B38" s="166">
        <f>Inputs!D25</f>
        <v>0</v>
      </c>
      <c r="C38" s="166">
        <f>Inputs!E25</f>
        <v>0</v>
      </c>
      <c r="D38" s="166">
        <f>Inputs!F25</f>
        <v>0</v>
      </c>
      <c r="E38" s="166">
        <f>Inputs!G25</f>
        <v>0</v>
      </c>
      <c r="F38" s="166">
        <f>Inputs!H25</f>
        <v>0</v>
      </c>
      <c r="G38" s="250">
        <f>Inputs!I25</f>
        <v>0</v>
      </c>
    </row>
    <row r="39" spans="1:7" ht="12.75" customHeight="1" x14ac:dyDescent="0.2">
      <c r="A39" s="142" t="str">
        <f>"   "&amp;Labels!B260</f>
        <v xml:space="preserve">   Location 2</v>
      </c>
      <c r="B39" s="166">
        <f>Inputs!D26</f>
        <v>0</v>
      </c>
      <c r="C39" s="166">
        <f>Inputs!E26</f>
        <v>0</v>
      </c>
      <c r="D39" s="166">
        <f>Inputs!F26</f>
        <v>0</v>
      </c>
      <c r="E39" s="166">
        <f>Inputs!G26</f>
        <v>0</v>
      </c>
      <c r="F39" s="166">
        <f>Inputs!H26</f>
        <v>0</v>
      </c>
      <c r="G39" s="250">
        <f>Inputs!I26</f>
        <v>0</v>
      </c>
    </row>
    <row r="40" spans="1:7" ht="12.75" customHeight="1" x14ac:dyDescent="0.2">
      <c r="A40" s="134" t="str">
        <f>"   "&amp;Labels!C258</f>
        <v xml:space="preserve">   Total</v>
      </c>
      <c r="B40" s="167">
        <f t="shared" ref="B40:G40" si="11">AVERAGE(B38:B39)</f>
        <v>0</v>
      </c>
      <c r="C40" s="167">
        <f t="shared" si="11"/>
        <v>0</v>
      </c>
      <c r="D40" s="167">
        <f t="shared" si="11"/>
        <v>0</v>
      </c>
      <c r="E40" s="167">
        <f t="shared" si="11"/>
        <v>0</v>
      </c>
      <c r="F40" s="167">
        <f t="shared" si="11"/>
        <v>0</v>
      </c>
      <c r="G40" s="251">
        <f t="shared" si="11"/>
        <v>0</v>
      </c>
    </row>
    <row r="41" spans="1:7" ht="12.75" customHeight="1" x14ac:dyDescent="0.2">
      <c r="A41" s="91" t="str">
        <f>Labels!C254</f>
        <v>Total</v>
      </c>
      <c r="B41" s="161">
        <f t="shared" ref="B41:G41" si="12">AVERAGE(B36,B40)</f>
        <v>0</v>
      </c>
      <c r="C41" s="161">
        <f t="shared" si="12"/>
        <v>0</v>
      </c>
      <c r="D41" s="161">
        <f t="shared" si="12"/>
        <v>0</v>
      </c>
      <c r="E41" s="161">
        <f t="shared" si="12"/>
        <v>0</v>
      </c>
      <c r="F41" s="161">
        <f t="shared" si="12"/>
        <v>0</v>
      </c>
      <c r="G41" s="252">
        <f t="shared" si="12"/>
        <v>0</v>
      </c>
    </row>
    <row r="42" spans="1:7" ht="12.75" customHeight="1" x14ac:dyDescent="0.2">
      <c r="A42" s="142" t="str">
        <f>"   "&amp;Labels!B259</f>
        <v xml:space="preserve">   Location 1</v>
      </c>
      <c r="B42" s="166">
        <f t="shared" ref="B42:G44" si="13">AVERAGE(B34,B38)</f>
        <v>0</v>
      </c>
      <c r="C42" s="166">
        <f t="shared" si="13"/>
        <v>0</v>
      </c>
      <c r="D42" s="166">
        <f t="shared" si="13"/>
        <v>0</v>
      </c>
      <c r="E42" s="166">
        <f t="shared" si="13"/>
        <v>0</v>
      </c>
      <c r="F42" s="166">
        <f t="shared" si="13"/>
        <v>0</v>
      </c>
      <c r="G42" s="250">
        <f t="shared" si="13"/>
        <v>0</v>
      </c>
    </row>
    <row r="43" spans="1:7" ht="12.75" customHeight="1" x14ac:dyDescent="0.2">
      <c r="A43" s="142" t="str">
        <f>"   "&amp;Labels!B260</f>
        <v xml:space="preserve">   Location 2</v>
      </c>
      <c r="B43" s="166">
        <f t="shared" si="13"/>
        <v>0</v>
      </c>
      <c r="C43" s="166">
        <f t="shared" si="13"/>
        <v>0</v>
      </c>
      <c r="D43" s="166">
        <f t="shared" si="13"/>
        <v>0</v>
      </c>
      <c r="E43" s="166">
        <f t="shared" si="13"/>
        <v>0</v>
      </c>
      <c r="F43" s="166">
        <f t="shared" si="13"/>
        <v>0</v>
      </c>
      <c r="G43" s="250">
        <f t="shared" si="13"/>
        <v>0</v>
      </c>
    </row>
    <row r="44" spans="1:7" ht="12.75" customHeight="1" x14ac:dyDescent="0.2">
      <c r="A44" s="131" t="str">
        <f>"   "&amp;Labels!C258</f>
        <v xml:space="preserve">   Total</v>
      </c>
      <c r="B44" s="168">
        <f t="shared" si="13"/>
        <v>0</v>
      </c>
      <c r="C44" s="168">
        <f t="shared" si="13"/>
        <v>0</v>
      </c>
      <c r="D44" s="168">
        <f t="shared" si="13"/>
        <v>0</v>
      </c>
      <c r="E44" s="168">
        <f t="shared" si="13"/>
        <v>0</v>
      </c>
      <c r="F44" s="168">
        <f t="shared" si="13"/>
        <v>0</v>
      </c>
      <c r="G44" s="253">
        <f t="shared" si="13"/>
        <v>0</v>
      </c>
    </row>
    <row r="45" spans="1:7" ht="12.75" customHeight="1" x14ac:dyDescent="0.2">
      <c r="A45" s="1" t="str">
        <f>Labels!B130</f>
        <v>Revenue at List Price - Products</v>
      </c>
    </row>
    <row r="46" spans="1:7" ht="12.75" customHeight="1" x14ac:dyDescent="0.2">
      <c r="B46" s="10" t="str">
        <f>'(FnCalls 1)'!F41</f>
        <v>MMM 2011</v>
      </c>
      <c r="C46" s="11" t="str">
        <f>'(FnCalls 1)'!F42</f>
        <v>MMM 2011</v>
      </c>
      <c r="D46" s="11" t="str">
        <f>'(FnCalls 1)'!F43</f>
        <v>MMM 2011</v>
      </c>
      <c r="E46" s="11" t="str">
        <f>'(FnCalls 1)'!F44</f>
        <v>MMM 2011</v>
      </c>
      <c r="F46" s="11" t="str">
        <f>'(FnCalls 1)'!F45</f>
        <v>MMM 2011</v>
      </c>
      <c r="G46" s="12" t="str">
        <f>'(FnCalls 1)'!F46</f>
        <v>MMM 2011</v>
      </c>
    </row>
    <row r="47" spans="1:7" ht="12.75" customHeight="1" x14ac:dyDescent="0.2">
      <c r="A47" s="128" t="str">
        <f>Labels!B255</f>
        <v>Product 1</v>
      </c>
      <c r="B47" s="141"/>
      <c r="C47" s="141"/>
      <c r="D47" s="141"/>
      <c r="E47" s="141"/>
      <c r="F47" s="141"/>
      <c r="G47" s="225"/>
    </row>
    <row r="48" spans="1:7" ht="12.75" customHeight="1" x14ac:dyDescent="0.2">
      <c r="A48" s="142" t="str">
        <f>"   "&amp;Labels!B259</f>
        <v xml:space="preserve">   Location 1</v>
      </c>
      <c r="B48" s="143">
        <f>Inputs!D33*Sales!B65</f>
        <v>0</v>
      </c>
      <c r="C48" s="143">
        <f>Inputs!E33*Sales!C65</f>
        <v>0</v>
      </c>
      <c r="D48" s="143">
        <f>Inputs!F33*Sales!D65</f>
        <v>0</v>
      </c>
      <c r="E48" s="143">
        <f>Inputs!G33*Sales!E65</f>
        <v>0</v>
      </c>
      <c r="F48" s="143">
        <f>Inputs!H33*Sales!F65</f>
        <v>0</v>
      </c>
      <c r="G48" s="246">
        <f>Inputs!I33*Sales!G65</f>
        <v>0</v>
      </c>
    </row>
    <row r="49" spans="1:7" ht="12.75" customHeight="1" x14ac:dyDescent="0.2">
      <c r="A49" s="142" t="str">
        <f>"   "&amp;Labels!B260</f>
        <v xml:space="preserve">   Location 2</v>
      </c>
      <c r="B49" s="143">
        <f>Inputs!D33*Sales!B66</f>
        <v>0</v>
      </c>
      <c r="C49" s="143">
        <f>Inputs!E33*Sales!C66</f>
        <v>0</v>
      </c>
      <c r="D49" s="143">
        <f>Inputs!F33*Sales!D66</f>
        <v>0</v>
      </c>
      <c r="E49" s="143">
        <f>Inputs!G33*Sales!E66</f>
        <v>0</v>
      </c>
      <c r="F49" s="143">
        <f>Inputs!H33*Sales!F66</f>
        <v>0</v>
      </c>
      <c r="G49" s="246">
        <f>Inputs!I33*Sales!G66</f>
        <v>0</v>
      </c>
    </row>
    <row r="50" spans="1:7" ht="12.75" customHeight="1" x14ac:dyDescent="0.2">
      <c r="A50" s="134" t="str">
        <f>"   "&amp;Labels!C258</f>
        <v xml:space="preserve">   Total</v>
      </c>
      <c r="B50" s="145">
        <f t="shared" ref="B50:G50" si="14">SUM(B48:B49)</f>
        <v>0</v>
      </c>
      <c r="C50" s="145">
        <f t="shared" si="14"/>
        <v>0</v>
      </c>
      <c r="D50" s="145">
        <f t="shared" si="14"/>
        <v>0</v>
      </c>
      <c r="E50" s="145">
        <f t="shared" si="14"/>
        <v>0</v>
      </c>
      <c r="F50" s="145">
        <f t="shared" si="14"/>
        <v>0</v>
      </c>
      <c r="G50" s="226">
        <f t="shared" si="14"/>
        <v>0</v>
      </c>
    </row>
    <row r="51" spans="1:7" ht="12.75" customHeight="1" x14ac:dyDescent="0.2">
      <c r="A51" s="134" t="str">
        <f>Labels!B256</f>
        <v>Product 2</v>
      </c>
      <c r="B51" s="145"/>
      <c r="C51" s="145"/>
      <c r="D51" s="145"/>
      <c r="E51" s="145"/>
      <c r="F51" s="145"/>
      <c r="G51" s="226"/>
    </row>
    <row r="52" spans="1:7" ht="12.75" customHeight="1" x14ac:dyDescent="0.2">
      <c r="A52" s="142" t="str">
        <f>"   "&amp;Labels!B259</f>
        <v xml:space="preserve">   Location 1</v>
      </c>
      <c r="B52" s="143">
        <f>Inputs!D34*Sales!B69</f>
        <v>0</v>
      </c>
      <c r="C52" s="143">
        <f>Inputs!E34*Sales!C69</f>
        <v>0</v>
      </c>
      <c r="D52" s="143">
        <f>Inputs!F34*Sales!D69</f>
        <v>0</v>
      </c>
      <c r="E52" s="143">
        <f>Inputs!G34*Sales!E69</f>
        <v>0</v>
      </c>
      <c r="F52" s="143">
        <f>Inputs!H34*Sales!F69</f>
        <v>0</v>
      </c>
      <c r="G52" s="246">
        <f>Inputs!I34*Sales!G69</f>
        <v>0</v>
      </c>
    </row>
    <row r="53" spans="1:7" ht="12.75" customHeight="1" x14ac:dyDescent="0.2">
      <c r="A53" s="142" t="str">
        <f>"   "&amp;Labels!B260</f>
        <v xml:space="preserve">   Location 2</v>
      </c>
      <c r="B53" s="143">
        <f>Inputs!D34*Sales!B70</f>
        <v>0</v>
      </c>
      <c r="C53" s="143">
        <f>Inputs!E34*Sales!C70</f>
        <v>0</v>
      </c>
      <c r="D53" s="143">
        <f>Inputs!F34*Sales!D70</f>
        <v>0</v>
      </c>
      <c r="E53" s="143">
        <f>Inputs!G34*Sales!E70</f>
        <v>0</v>
      </c>
      <c r="F53" s="143">
        <f>Inputs!H34*Sales!F70</f>
        <v>0</v>
      </c>
      <c r="G53" s="246">
        <f>Inputs!I34*Sales!G70</f>
        <v>0</v>
      </c>
    </row>
    <row r="54" spans="1:7" ht="12.75" customHeight="1" x14ac:dyDescent="0.2">
      <c r="A54" s="134" t="str">
        <f>"   "&amp;Labels!C258</f>
        <v xml:space="preserve">   Total</v>
      </c>
      <c r="B54" s="145">
        <f t="shared" ref="B54:G54" si="15">SUM(B52:B53)</f>
        <v>0</v>
      </c>
      <c r="C54" s="145">
        <f t="shared" si="15"/>
        <v>0</v>
      </c>
      <c r="D54" s="145">
        <f t="shared" si="15"/>
        <v>0</v>
      </c>
      <c r="E54" s="145">
        <f t="shared" si="15"/>
        <v>0</v>
      </c>
      <c r="F54" s="145">
        <f t="shared" si="15"/>
        <v>0</v>
      </c>
      <c r="G54" s="226">
        <f t="shared" si="15"/>
        <v>0</v>
      </c>
    </row>
    <row r="55" spans="1:7" ht="12.75" customHeight="1" x14ac:dyDescent="0.2">
      <c r="A55" s="91" t="str">
        <f>Labels!C254</f>
        <v>Total</v>
      </c>
      <c r="B55" s="149">
        <f t="shared" ref="B55:G55" si="16">SUM(B50,B54)</f>
        <v>0</v>
      </c>
      <c r="C55" s="149">
        <f t="shared" si="16"/>
        <v>0</v>
      </c>
      <c r="D55" s="149">
        <f t="shared" si="16"/>
        <v>0</v>
      </c>
      <c r="E55" s="149">
        <f t="shared" si="16"/>
        <v>0</v>
      </c>
      <c r="F55" s="149">
        <f t="shared" si="16"/>
        <v>0</v>
      </c>
      <c r="G55" s="227">
        <f t="shared" si="16"/>
        <v>0</v>
      </c>
    </row>
    <row r="56" spans="1:7" ht="12.75" customHeight="1" x14ac:dyDescent="0.2">
      <c r="A56" s="142" t="str">
        <f>"   "&amp;Labels!B259</f>
        <v xml:space="preserve">   Location 1</v>
      </c>
      <c r="B56" s="143">
        <f t="shared" ref="B56:G58" si="17">SUM(B48,B52)</f>
        <v>0</v>
      </c>
      <c r="C56" s="143">
        <f t="shared" si="17"/>
        <v>0</v>
      </c>
      <c r="D56" s="143">
        <f t="shared" si="17"/>
        <v>0</v>
      </c>
      <c r="E56" s="143">
        <f t="shared" si="17"/>
        <v>0</v>
      </c>
      <c r="F56" s="143">
        <f t="shared" si="17"/>
        <v>0</v>
      </c>
      <c r="G56" s="246">
        <f t="shared" si="17"/>
        <v>0</v>
      </c>
    </row>
    <row r="57" spans="1:7" ht="12.75" customHeight="1" x14ac:dyDescent="0.2">
      <c r="A57" s="142" t="str">
        <f>"   "&amp;Labels!B260</f>
        <v xml:space="preserve">   Location 2</v>
      </c>
      <c r="B57" s="143">
        <f t="shared" si="17"/>
        <v>0</v>
      </c>
      <c r="C57" s="143">
        <f t="shared" si="17"/>
        <v>0</v>
      </c>
      <c r="D57" s="143">
        <f t="shared" si="17"/>
        <v>0</v>
      </c>
      <c r="E57" s="143">
        <f t="shared" si="17"/>
        <v>0</v>
      </c>
      <c r="F57" s="143">
        <f t="shared" si="17"/>
        <v>0</v>
      </c>
      <c r="G57" s="246">
        <f t="shared" si="17"/>
        <v>0</v>
      </c>
    </row>
    <row r="58" spans="1:7" ht="12.75" customHeight="1" x14ac:dyDescent="0.2">
      <c r="A58" s="131" t="str">
        <f>"   "&amp;Labels!C258</f>
        <v xml:space="preserve">   Total</v>
      </c>
      <c r="B58" s="127">
        <f t="shared" si="17"/>
        <v>0</v>
      </c>
      <c r="C58" s="127">
        <f t="shared" si="17"/>
        <v>0</v>
      </c>
      <c r="D58" s="127">
        <f t="shared" si="17"/>
        <v>0</v>
      </c>
      <c r="E58" s="127">
        <f t="shared" si="17"/>
        <v>0</v>
      </c>
      <c r="F58" s="127">
        <f t="shared" si="17"/>
        <v>0</v>
      </c>
      <c r="G58" s="247">
        <f t="shared" si="17"/>
        <v>0</v>
      </c>
    </row>
    <row r="59" spans="1:7" ht="12.75" customHeight="1" x14ac:dyDescent="0.2">
      <c r="A59" s="1" t="str">
        <f>Labels!B53</f>
        <v>Direct Overhead / U</v>
      </c>
    </row>
    <row r="60" spans="1:7" ht="12.75" customHeight="1" x14ac:dyDescent="0.2">
      <c r="B60" s="10" t="str">
        <f>'(FnCalls 1)'!F41</f>
        <v>MMM 2011</v>
      </c>
      <c r="C60" s="11" t="str">
        <f>'(FnCalls 1)'!F42</f>
        <v>MMM 2011</v>
      </c>
      <c r="D60" s="11" t="str">
        <f>'(FnCalls 1)'!F43</f>
        <v>MMM 2011</v>
      </c>
      <c r="E60" s="11" t="str">
        <f>'(FnCalls 1)'!F44</f>
        <v>MMM 2011</v>
      </c>
      <c r="F60" s="11" t="str">
        <f>'(FnCalls 1)'!F45</f>
        <v>MMM 2011</v>
      </c>
      <c r="G60" s="12" t="str">
        <f>'(FnCalls 1)'!F46</f>
        <v>MMM 2011</v>
      </c>
    </row>
    <row r="61" spans="1:7" ht="12.75" customHeight="1" x14ac:dyDescent="0.2">
      <c r="A61" s="128" t="str">
        <f>Labels!B255</f>
        <v>Product 1</v>
      </c>
      <c r="B61" s="178">
        <f>Inputs!D63</f>
        <v>0</v>
      </c>
      <c r="C61" s="178">
        <f>Inputs!E63</f>
        <v>0</v>
      </c>
      <c r="D61" s="178">
        <f>Inputs!F63</f>
        <v>0</v>
      </c>
      <c r="E61" s="178">
        <f>Inputs!G63</f>
        <v>0</v>
      </c>
      <c r="F61" s="178">
        <f>Inputs!H63</f>
        <v>0</v>
      </c>
      <c r="G61" s="254">
        <f>Inputs!I63</f>
        <v>0</v>
      </c>
    </row>
    <row r="62" spans="1:7" ht="12.75" customHeight="1" x14ac:dyDescent="0.2">
      <c r="A62" s="134" t="str">
        <f>Labels!B256</f>
        <v>Product 2</v>
      </c>
      <c r="B62" s="182">
        <f>Inputs!D64</f>
        <v>0</v>
      </c>
      <c r="C62" s="182">
        <f>Inputs!E64</f>
        <v>0</v>
      </c>
      <c r="D62" s="182">
        <f>Inputs!F64</f>
        <v>0</v>
      </c>
      <c r="E62" s="182">
        <f>Inputs!G64</f>
        <v>0</v>
      </c>
      <c r="F62" s="182">
        <f>Inputs!H64</f>
        <v>0</v>
      </c>
      <c r="G62" s="255">
        <f>Inputs!I64</f>
        <v>0</v>
      </c>
    </row>
    <row r="63" spans="1:7" ht="12.75" customHeight="1" x14ac:dyDescent="0.2">
      <c r="A63" s="91" t="str">
        <f>Labels!C254</f>
        <v>Total</v>
      </c>
      <c r="B63" s="256">
        <f>IF('Cogs GM'!B111=0,0,B103/'Cogs GM'!B111)</f>
        <v>0</v>
      </c>
      <c r="C63" s="256">
        <f>IF('Cogs GM'!C111=0,0,C103/'Cogs GM'!C111)</f>
        <v>0</v>
      </c>
      <c r="D63" s="256">
        <f>IF('Cogs GM'!D111=0,0,D103/'Cogs GM'!D111)</f>
        <v>0</v>
      </c>
      <c r="E63" s="256">
        <f>IF('Cogs GM'!E111=0,0,E103/'Cogs GM'!E111)</f>
        <v>0</v>
      </c>
      <c r="F63" s="256">
        <f>IF('Cogs GM'!F111=0,0,F103/'Cogs GM'!F111)</f>
        <v>0</v>
      </c>
      <c r="G63" s="257">
        <f>IF('Cogs GM'!G111=0,0,G103/'Cogs GM'!G111)</f>
        <v>0</v>
      </c>
    </row>
    <row r="64" spans="1:7" ht="12.75" customHeight="1" x14ac:dyDescent="0.2">
      <c r="A64" s="1" t="str">
        <f>Labels!B87</f>
        <v>FG Inventory Targ Days</v>
      </c>
    </row>
    <row r="65" spans="1:7" ht="12.75" customHeight="1" x14ac:dyDescent="0.2">
      <c r="B65" s="10" t="str">
        <f>'(FnCalls 1)'!F41</f>
        <v>MMM 2011</v>
      </c>
      <c r="C65" s="11" t="str">
        <f>'(FnCalls 1)'!F42</f>
        <v>MMM 2011</v>
      </c>
      <c r="D65" s="11" t="str">
        <f>'(FnCalls 1)'!F43</f>
        <v>MMM 2011</v>
      </c>
      <c r="E65" s="11" t="str">
        <f>'(FnCalls 1)'!F44</f>
        <v>MMM 2011</v>
      </c>
      <c r="F65" s="11" t="str">
        <f>'(FnCalls 1)'!F45</f>
        <v>MMM 2011</v>
      </c>
      <c r="G65" s="12" t="str">
        <f>'(FnCalls 1)'!F46</f>
        <v>MMM 2011</v>
      </c>
    </row>
    <row r="66" spans="1:7" ht="12.75" customHeight="1" x14ac:dyDescent="0.2">
      <c r="A66" s="128" t="str">
        <f>Labels!B255</f>
        <v>Product 1</v>
      </c>
      <c r="B66" s="169">
        <f>Inputs!D171</f>
        <v>30</v>
      </c>
      <c r="C66" s="169">
        <f>Inputs!E171</f>
        <v>30</v>
      </c>
      <c r="D66" s="169">
        <f>Inputs!F171</f>
        <v>30</v>
      </c>
      <c r="E66" s="169">
        <f>Inputs!G171</f>
        <v>30</v>
      </c>
      <c r="F66" s="169">
        <f>Inputs!H171</f>
        <v>30</v>
      </c>
      <c r="G66" s="228">
        <f>Inputs!I171</f>
        <v>30</v>
      </c>
    </row>
    <row r="67" spans="1:7" ht="12.75" customHeight="1" x14ac:dyDescent="0.2">
      <c r="A67" s="134" t="str">
        <f>Labels!B256</f>
        <v>Product 2</v>
      </c>
      <c r="B67" s="174">
        <f>Inputs!D172</f>
        <v>30</v>
      </c>
      <c r="C67" s="174">
        <f>Inputs!E172</f>
        <v>30</v>
      </c>
      <c r="D67" s="174">
        <f>Inputs!F172</f>
        <v>30</v>
      </c>
      <c r="E67" s="174">
        <f>Inputs!G172</f>
        <v>30</v>
      </c>
      <c r="F67" s="174">
        <f>Inputs!H172</f>
        <v>30</v>
      </c>
      <c r="G67" s="230">
        <f>Inputs!I172</f>
        <v>30</v>
      </c>
    </row>
    <row r="68" spans="1:7" ht="12.75" customHeight="1" x14ac:dyDescent="0.2">
      <c r="A68" s="91" t="str">
        <f>Labels!C254</f>
        <v>Total</v>
      </c>
      <c r="B68" s="231">
        <f>IF(SUM('Cogs GM'!B64,'Cogs GM'!B80)=0,0,'(FnCalls 1)'!A53/SUM('Cogs GM'!B64,'Cogs GM'!B80))</f>
        <v>0</v>
      </c>
      <c r="C68" s="231">
        <f>IF(SUM('Cogs GM'!C64,'Cogs GM'!C80)=0,0,'(FnCalls 1)'!A57/SUM('Cogs GM'!C64,'Cogs GM'!C80))</f>
        <v>0</v>
      </c>
      <c r="D68" s="231">
        <f>IF(SUM('Cogs GM'!D64,'Cogs GM'!D80)=0,0,'(FnCalls 1)'!A61/SUM('Cogs GM'!D64,'Cogs GM'!D80))</f>
        <v>0</v>
      </c>
      <c r="E68" s="231">
        <f>IF(SUM('Cogs GM'!E64,'Cogs GM'!E80)=0,0,'(FnCalls 1)'!A65/SUM('Cogs GM'!E64,'Cogs GM'!E80))</f>
        <v>0</v>
      </c>
      <c r="F68" s="231">
        <f>IF(SUM('Cogs GM'!F64,'Cogs GM'!F80)=0,0,'(FnCalls 1)'!A69/SUM('Cogs GM'!F64,'Cogs GM'!F80))</f>
        <v>0</v>
      </c>
      <c r="G68" s="232">
        <f>IF(SUM('Cogs GM'!G64,'Cogs GM'!G80)=0,0,'(FnCalls 1)'!A73/SUM('Cogs GM'!G64,'Cogs GM'!G80))</f>
        <v>0</v>
      </c>
    </row>
    <row r="69" spans="1:7" ht="12.75" customHeight="1" x14ac:dyDescent="0.2">
      <c r="A69" s="1" t="str">
        <f>Labels!B40</f>
        <v>Cost of Goods - Products</v>
      </c>
    </row>
    <row r="70" spans="1:7" ht="12.75" customHeight="1" x14ac:dyDescent="0.2">
      <c r="B70" s="10" t="str">
        <f>'(FnCalls 1)'!F41</f>
        <v>MMM 2011</v>
      </c>
      <c r="C70" s="11" t="str">
        <f>'(FnCalls 1)'!F42</f>
        <v>MMM 2011</v>
      </c>
      <c r="D70" s="11" t="str">
        <f>'(FnCalls 1)'!F43</f>
        <v>MMM 2011</v>
      </c>
      <c r="E70" s="11" t="str">
        <f>'(FnCalls 1)'!F44</f>
        <v>MMM 2011</v>
      </c>
      <c r="F70" s="11" t="str">
        <f>'(FnCalls 1)'!F45</f>
        <v>MMM 2011</v>
      </c>
      <c r="G70" s="12" t="str">
        <f>'(FnCalls 1)'!F46</f>
        <v>MMM 2011</v>
      </c>
    </row>
    <row r="71" spans="1:7" ht="12.75" customHeight="1" x14ac:dyDescent="0.2">
      <c r="A71" s="128" t="str">
        <f>Labels!B255</f>
        <v>Product 1</v>
      </c>
      <c r="B71" s="141"/>
      <c r="C71" s="141"/>
      <c r="D71" s="141"/>
      <c r="E71" s="141"/>
      <c r="F71" s="141"/>
      <c r="G71" s="225"/>
    </row>
    <row r="72" spans="1:7" ht="12.75" customHeight="1" x14ac:dyDescent="0.2">
      <c r="A72" s="142" t="str">
        <f>"   "&amp;Labels!B259</f>
        <v xml:space="preserve">   Location 1</v>
      </c>
      <c r="B72" s="143"/>
      <c r="C72" s="143"/>
      <c r="D72" s="143"/>
      <c r="E72" s="143"/>
      <c r="F72" s="143"/>
      <c r="G72" s="246"/>
    </row>
    <row r="73" spans="1:7" ht="12.75" customHeight="1" x14ac:dyDescent="0.2">
      <c r="A73" s="144" t="str">
        <f>"      "&amp;Labels!B217</f>
        <v xml:space="preserve">      Dir Material</v>
      </c>
      <c r="B73" s="135">
        <f>B122*Sales!B65</f>
        <v>0</v>
      </c>
      <c r="C73" s="135">
        <f>C122*Sales!C65</f>
        <v>0</v>
      </c>
      <c r="D73" s="135">
        <f>D122*Sales!D65</f>
        <v>0</v>
      </c>
      <c r="E73" s="135">
        <f>E122*Sales!E65</f>
        <v>0</v>
      </c>
      <c r="F73" s="135">
        <f>F122*Sales!F65</f>
        <v>0</v>
      </c>
      <c r="G73" s="258">
        <f>G122*Sales!G65</f>
        <v>0</v>
      </c>
    </row>
    <row r="74" spans="1:7" ht="12.75" customHeight="1" x14ac:dyDescent="0.2">
      <c r="A74" s="144" t="str">
        <f>"      "&amp;Labels!B218</f>
        <v xml:space="preserve">      Dir Labor</v>
      </c>
      <c r="B74" s="135">
        <f>B123*Sales!B65</f>
        <v>0</v>
      </c>
      <c r="C74" s="135">
        <f>C123*Sales!C65</f>
        <v>0</v>
      </c>
      <c r="D74" s="135">
        <f>D123*Sales!D65</f>
        <v>0</v>
      </c>
      <c r="E74" s="135">
        <f>E123*Sales!E65</f>
        <v>0</v>
      </c>
      <c r="F74" s="135">
        <f>F123*Sales!F65</f>
        <v>0</v>
      </c>
      <c r="G74" s="258">
        <f>G123*Sales!G65</f>
        <v>0</v>
      </c>
    </row>
    <row r="75" spans="1:7" ht="12.75" customHeight="1" x14ac:dyDescent="0.2">
      <c r="A75" s="144" t="str">
        <f>"      "&amp;Labels!B219</f>
        <v xml:space="preserve">      Dir Overhead</v>
      </c>
      <c r="B75" s="135">
        <f>B124*Sales!B65</f>
        <v>0</v>
      </c>
      <c r="C75" s="135">
        <f>C124*Sales!C65</f>
        <v>0</v>
      </c>
      <c r="D75" s="135">
        <f>D124*Sales!D65</f>
        <v>0</v>
      </c>
      <c r="E75" s="135">
        <f>E124*Sales!E65</f>
        <v>0</v>
      </c>
      <c r="F75" s="135">
        <f>F124*Sales!F65</f>
        <v>0</v>
      </c>
      <c r="G75" s="258">
        <f>G124*Sales!G65</f>
        <v>0</v>
      </c>
    </row>
    <row r="76" spans="1:7" ht="12.75" customHeight="1" x14ac:dyDescent="0.2">
      <c r="A76" s="142" t="str">
        <f>"      "&amp;Labels!C216</f>
        <v xml:space="preserve">      Total</v>
      </c>
      <c r="B76" s="143">
        <f t="shared" ref="B76:G76" si="18">SUM(B73:B75)</f>
        <v>0</v>
      </c>
      <c r="C76" s="143">
        <f t="shared" si="18"/>
        <v>0</v>
      </c>
      <c r="D76" s="143">
        <f t="shared" si="18"/>
        <v>0</v>
      </c>
      <c r="E76" s="143">
        <f t="shared" si="18"/>
        <v>0</v>
      </c>
      <c r="F76" s="143">
        <f t="shared" si="18"/>
        <v>0</v>
      </c>
      <c r="G76" s="246">
        <f t="shared" si="18"/>
        <v>0</v>
      </c>
    </row>
    <row r="77" spans="1:7" ht="12.75" customHeight="1" x14ac:dyDescent="0.2">
      <c r="A77" s="142" t="str">
        <f>"   "&amp;Labels!B260</f>
        <v xml:space="preserve">   Location 2</v>
      </c>
      <c r="B77" s="143"/>
      <c r="C77" s="143"/>
      <c r="D77" s="143"/>
      <c r="E77" s="143"/>
      <c r="F77" s="143"/>
      <c r="G77" s="246"/>
    </row>
    <row r="78" spans="1:7" ht="12.75" customHeight="1" x14ac:dyDescent="0.2">
      <c r="A78" s="144" t="str">
        <f>"      "&amp;Labels!B217</f>
        <v xml:space="preserve">      Dir Material</v>
      </c>
      <c r="B78" s="135">
        <f>B122*Sales!B66</f>
        <v>0</v>
      </c>
      <c r="C78" s="135">
        <f>C122*Sales!C66</f>
        <v>0</v>
      </c>
      <c r="D78" s="135">
        <f>D122*Sales!D66</f>
        <v>0</v>
      </c>
      <c r="E78" s="135">
        <f>E122*Sales!E66</f>
        <v>0</v>
      </c>
      <c r="F78" s="135">
        <f>F122*Sales!F66</f>
        <v>0</v>
      </c>
      <c r="G78" s="258">
        <f>G122*Sales!G66</f>
        <v>0</v>
      </c>
    </row>
    <row r="79" spans="1:7" ht="12.75" customHeight="1" x14ac:dyDescent="0.2">
      <c r="A79" s="144" t="str">
        <f>"      "&amp;Labels!B218</f>
        <v xml:space="preserve">      Dir Labor</v>
      </c>
      <c r="B79" s="135">
        <f>B123*Sales!B66</f>
        <v>0</v>
      </c>
      <c r="C79" s="135">
        <f>C123*Sales!C66</f>
        <v>0</v>
      </c>
      <c r="D79" s="135">
        <f>D123*Sales!D66</f>
        <v>0</v>
      </c>
      <c r="E79" s="135">
        <f>E123*Sales!E66</f>
        <v>0</v>
      </c>
      <c r="F79" s="135">
        <f>F123*Sales!F66</f>
        <v>0</v>
      </c>
      <c r="G79" s="258">
        <f>G123*Sales!G66</f>
        <v>0</v>
      </c>
    </row>
    <row r="80" spans="1:7" ht="12.75" customHeight="1" x14ac:dyDescent="0.2">
      <c r="A80" s="144" t="str">
        <f>"      "&amp;Labels!B219</f>
        <v xml:space="preserve">      Dir Overhead</v>
      </c>
      <c r="B80" s="135">
        <f>B124*Sales!B66</f>
        <v>0</v>
      </c>
      <c r="C80" s="135">
        <f>C124*Sales!C66</f>
        <v>0</v>
      </c>
      <c r="D80" s="135">
        <f>D124*Sales!D66</f>
        <v>0</v>
      </c>
      <c r="E80" s="135">
        <f>E124*Sales!E66</f>
        <v>0</v>
      </c>
      <c r="F80" s="135">
        <f>F124*Sales!F66</f>
        <v>0</v>
      </c>
      <c r="G80" s="258">
        <f>G124*Sales!G66</f>
        <v>0</v>
      </c>
    </row>
    <row r="81" spans="1:7" ht="12.75" customHeight="1" x14ac:dyDescent="0.2">
      <c r="A81" s="142" t="str">
        <f>"      "&amp;Labels!C216</f>
        <v xml:space="preserve">      Total</v>
      </c>
      <c r="B81" s="143">
        <f t="shared" ref="B81:G81" si="19">SUM(B78:B80)</f>
        <v>0</v>
      </c>
      <c r="C81" s="143">
        <f t="shared" si="19"/>
        <v>0</v>
      </c>
      <c r="D81" s="143">
        <f t="shared" si="19"/>
        <v>0</v>
      </c>
      <c r="E81" s="143">
        <f t="shared" si="19"/>
        <v>0</v>
      </c>
      <c r="F81" s="143">
        <f t="shared" si="19"/>
        <v>0</v>
      </c>
      <c r="G81" s="246">
        <f t="shared" si="19"/>
        <v>0</v>
      </c>
    </row>
    <row r="82" spans="1:7" ht="12.75" customHeight="1" x14ac:dyDescent="0.2">
      <c r="A82" s="134" t="str">
        <f>"   "&amp;Labels!C258</f>
        <v xml:space="preserve">   Total</v>
      </c>
      <c r="B82" s="145">
        <f t="shared" ref="B82:G82" si="20">SUM(B76,B81)</f>
        <v>0</v>
      </c>
      <c r="C82" s="145">
        <f t="shared" si="20"/>
        <v>0</v>
      </c>
      <c r="D82" s="145">
        <f t="shared" si="20"/>
        <v>0</v>
      </c>
      <c r="E82" s="145">
        <f t="shared" si="20"/>
        <v>0</v>
      </c>
      <c r="F82" s="145">
        <f t="shared" si="20"/>
        <v>0</v>
      </c>
      <c r="G82" s="226">
        <f t="shared" si="20"/>
        <v>0</v>
      </c>
    </row>
    <row r="83" spans="1:7" ht="12.75" customHeight="1" x14ac:dyDescent="0.2">
      <c r="A83" s="144" t="str">
        <f>"      "&amp;Labels!B217</f>
        <v xml:space="preserve">      Dir Material</v>
      </c>
      <c r="B83" s="135">
        <f t="shared" ref="B83:G86" si="21">SUM(B73,B78)</f>
        <v>0</v>
      </c>
      <c r="C83" s="135">
        <f t="shared" si="21"/>
        <v>0</v>
      </c>
      <c r="D83" s="135">
        <f t="shared" si="21"/>
        <v>0</v>
      </c>
      <c r="E83" s="135">
        <f t="shared" si="21"/>
        <v>0</v>
      </c>
      <c r="F83" s="135">
        <f t="shared" si="21"/>
        <v>0</v>
      </c>
      <c r="G83" s="258">
        <f t="shared" si="21"/>
        <v>0</v>
      </c>
    </row>
    <row r="84" spans="1:7" ht="12.75" customHeight="1" x14ac:dyDescent="0.2">
      <c r="A84" s="144" t="str">
        <f>"      "&amp;Labels!B218</f>
        <v xml:space="preserve">      Dir Labor</v>
      </c>
      <c r="B84" s="135">
        <f t="shared" si="21"/>
        <v>0</v>
      </c>
      <c r="C84" s="135">
        <f t="shared" si="21"/>
        <v>0</v>
      </c>
      <c r="D84" s="135">
        <f t="shared" si="21"/>
        <v>0</v>
      </c>
      <c r="E84" s="135">
        <f t="shared" si="21"/>
        <v>0</v>
      </c>
      <c r="F84" s="135">
        <f t="shared" si="21"/>
        <v>0</v>
      </c>
      <c r="G84" s="258">
        <f t="shared" si="21"/>
        <v>0</v>
      </c>
    </row>
    <row r="85" spans="1:7" ht="12.75" customHeight="1" x14ac:dyDescent="0.2">
      <c r="A85" s="144" t="str">
        <f>"      "&amp;Labels!B219</f>
        <v xml:space="preserve">      Dir Overhead</v>
      </c>
      <c r="B85" s="135">
        <f t="shared" si="21"/>
        <v>0</v>
      </c>
      <c r="C85" s="135">
        <f t="shared" si="21"/>
        <v>0</v>
      </c>
      <c r="D85" s="135">
        <f t="shared" si="21"/>
        <v>0</v>
      </c>
      <c r="E85" s="135">
        <f t="shared" si="21"/>
        <v>0</v>
      </c>
      <c r="F85" s="135">
        <f t="shared" si="21"/>
        <v>0</v>
      </c>
      <c r="G85" s="258">
        <f t="shared" si="21"/>
        <v>0</v>
      </c>
    </row>
    <row r="86" spans="1:7" ht="12.75" customHeight="1" x14ac:dyDescent="0.2">
      <c r="A86" s="142" t="str">
        <f>"      "&amp;Labels!C216</f>
        <v xml:space="preserve">      Total</v>
      </c>
      <c r="B86" s="143">
        <f t="shared" si="21"/>
        <v>0</v>
      </c>
      <c r="C86" s="143">
        <f t="shared" si="21"/>
        <v>0</v>
      </c>
      <c r="D86" s="143">
        <f t="shared" si="21"/>
        <v>0</v>
      </c>
      <c r="E86" s="143">
        <f t="shared" si="21"/>
        <v>0</v>
      </c>
      <c r="F86" s="143">
        <f t="shared" si="21"/>
        <v>0</v>
      </c>
      <c r="G86" s="246">
        <f t="shared" si="21"/>
        <v>0</v>
      </c>
    </row>
    <row r="87" spans="1:7" ht="12.75" customHeight="1" x14ac:dyDescent="0.2">
      <c r="A87" s="134" t="str">
        <f>Labels!B256</f>
        <v>Product 2</v>
      </c>
      <c r="B87" s="145"/>
      <c r="C87" s="145"/>
      <c r="D87" s="145"/>
      <c r="E87" s="145"/>
      <c r="F87" s="145"/>
      <c r="G87" s="226"/>
    </row>
    <row r="88" spans="1:7" ht="12.75" customHeight="1" x14ac:dyDescent="0.2">
      <c r="A88" s="142" t="str">
        <f>"   "&amp;Labels!B259</f>
        <v xml:space="preserve">   Location 1</v>
      </c>
      <c r="B88" s="143"/>
      <c r="C88" s="143"/>
      <c r="D88" s="143"/>
      <c r="E88" s="143"/>
      <c r="F88" s="143"/>
      <c r="G88" s="246"/>
    </row>
    <row r="89" spans="1:7" ht="12.75" customHeight="1" x14ac:dyDescent="0.2">
      <c r="A89" s="144" t="str">
        <f>"      "&amp;Labels!B217</f>
        <v xml:space="preserve">      Dir Material</v>
      </c>
      <c r="B89" s="135">
        <f>B127*Sales!B69</f>
        <v>0</v>
      </c>
      <c r="C89" s="135">
        <f>C127*Sales!C69</f>
        <v>0</v>
      </c>
      <c r="D89" s="135">
        <f>D127*Sales!D69</f>
        <v>0</v>
      </c>
      <c r="E89" s="135">
        <f>E127*Sales!E69</f>
        <v>0</v>
      </c>
      <c r="F89" s="135">
        <f>F127*Sales!F69</f>
        <v>0</v>
      </c>
      <c r="G89" s="258">
        <f>G127*Sales!G69</f>
        <v>0</v>
      </c>
    </row>
    <row r="90" spans="1:7" ht="12.75" customHeight="1" x14ac:dyDescent="0.2">
      <c r="A90" s="144" t="str">
        <f>"      "&amp;Labels!B218</f>
        <v xml:space="preserve">      Dir Labor</v>
      </c>
      <c r="B90" s="135">
        <f>B128*Sales!B69</f>
        <v>0</v>
      </c>
      <c r="C90" s="135">
        <f>C128*Sales!C69</f>
        <v>0</v>
      </c>
      <c r="D90" s="135">
        <f>D128*Sales!D69</f>
        <v>0</v>
      </c>
      <c r="E90" s="135">
        <f>E128*Sales!E69</f>
        <v>0</v>
      </c>
      <c r="F90" s="135">
        <f>F128*Sales!F69</f>
        <v>0</v>
      </c>
      <c r="G90" s="258">
        <f>G128*Sales!G69</f>
        <v>0</v>
      </c>
    </row>
    <row r="91" spans="1:7" ht="12.75" customHeight="1" x14ac:dyDescent="0.2">
      <c r="A91" s="144" t="str">
        <f>"      "&amp;Labels!B219</f>
        <v xml:space="preserve">      Dir Overhead</v>
      </c>
      <c r="B91" s="135">
        <f>B129*Sales!B69</f>
        <v>0</v>
      </c>
      <c r="C91" s="135">
        <f>C129*Sales!C69</f>
        <v>0</v>
      </c>
      <c r="D91" s="135">
        <f>D129*Sales!D69</f>
        <v>0</v>
      </c>
      <c r="E91" s="135">
        <f>E129*Sales!E69</f>
        <v>0</v>
      </c>
      <c r="F91" s="135">
        <f>F129*Sales!F69</f>
        <v>0</v>
      </c>
      <c r="G91" s="258">
        <f>G129*Sales!G69</f>
        <v>0</v>
      </c>
    </row>
    <row r="92" spans="1:7" ht="12.75" customHeight="1" x14ac:dyDescent="0.2">
      <c r="A92" s="142" t="str">
        <f>"      "&amp;Labels!C216</f>
        <v xml:space="preserve">      Total</v>
      </c>
      <c r="B92" s="143">
        <f t="shared" ref="B92:G92" si="22">SUM(B89:B91)</f>
        <v>0</v>
      </c>
      <c r="C92" s="143">
        <f t="shared" si="22"/>
        <v>0</v>
      </c>
      <c r="D92" s="143">
        <f t="shared" si="22"/>
        <v>0</v>
      </c>
      <c r="E92" s="143">
        <f t="shared" si="22"/>
        <v>0</v>
      </c>
      <c r="F92" s="143">
        <f t="shared" si="22"/>
        <v>0</v>
      </c>
      <c r="G92" s="246">
        <f t="shared" si="22"/>
        <v>0</v>
      </c>
    </row>
    <row r="93" spans="1:7" ht="12.75" customHeight="1" x14ac:dyDescent="0.2">
      <c r="A93" s="142" t="str">
        <f>"   "&amp;Labels!B260</f>
        <v xml:space="preserve">   Location 2</v>
      </c>
      <c r="B93" s="143"/>
      <c r="C93" s="143"/>
      <c r="D93" s="143"/>
      <c r="E93" s="143"/>
      <c r="F93" s="143"/>
      <c r="G93" s="246"/>
    </row>
    <row r="94" spans="1:7" ht="12.75" customHeight="1" x14ac:dyDescent="0.2">
      <c r="A94" s="144" t="str">
        <f>"      "&amp;Labels!B217</f>
        <v xml:space="preserve">      Dir Material</v>
      </c>
      <c r="B94" s="135">
        <f>B127*Sales!B70</f>
        <v>0</v>
      </c>
      <c r="C94" s="135">
        <f>C127*Sales!C70</f>
        <v>0</v>
      </c>
      <c r="D94" s="135">
        <f>D127*Sales!D70</f>
        <v>0</v>
      </c>
      <c r="E94" s="135">
        <f>E127*Sales!E70</f>
        <v>0</v>
      </c>
      <c r="F94" s="135">
        <f>F127*Sales!F70</f>
        <v>0</v>
      </c>
      <c r="G94" s="258">
        <f>G127*Sales!G70</f>
        <v>0</v>
      </c>
    </row>
    <row r="95" spans="1:7" ht="12.75" customHeight="1" x14ac:dyDescent="0.2">
      <c r="A95" s="144" t="str">
        <f>"      "&amp;Labels!B218</f>
        <v xml:space="preserve">      Dir Labor</v>
      </c>
      <c r="B95" s="135">
        <f>B128*Sales!B70</f>
        <v>0</v>
      </c>
      <c r="C95" s="135">
        <f>C128*Sales!C70</f>
        <v>0</v>
      </c>
      <c r="D95" s="135">
        <f>D128*Sales!D70</f>
        <v>0</v>
      </c>
      <c r="E95" s="135">
        <f>E128*Sales!E70</f>
        <v>0</v>
      </c>
      <c r="F95" s="135">
        <f>F128*Sales!F70</f>
        <v>0</v>
      </c>
      <c r="G95" s="258">
        <f>G128*Sales!G70</f>
        <v>0</v>
      </c>
    </row>
    <row r="96" spans="1:7" ht="12.75" customHeight="1" x14ac:dyDescent="0.2">
      <c r="A96" s="144" t="str">
        <f>"      "&amp;Labels!B219</f>
        <v xml:space="preserve">      Dir Overhead</v>
      </c>
      <c r="B96" s="135">
        <f>B129*Sales!B70</f>
        <v>0</v>
      </c>
      <c r="C96" s="135">
        <f>C129*Sales!C70</f>
        <v>0</v>
      </c>
      <c r="D96" s="135">
        <f>D129*Sales!D70</f>
        <v>0</v>
      </c>
      <c r="E96" s="135">
        <f>E129*Sales!E70</f>
        <v>0</v>
      </c>
      <c r="F96" s="135">
        <f>F129*Sales!F70</f>
        <v>0</v>
      </c>
      <c r="G96" s="258">
        <f>G129*Sales!G70</f>
        <v>0</v>
      </c>
    </row>
    <row r="97" spans="1:7" ht="12.75" customHeight="1" x14ac:dyDescent="0.2">
      <c r="A97" s="142" t="str">
        <f>"      "&amp;Labels!C216</f>
        <v xml:space="preserve">      Total</v>
      </c>
      <c r="B97" s="143">
        <f t="shared" ref="B97:G97" si="23">SUM(B94:B96)</f>
        <v>0</v>
      </c>
      <c r="C97" s="143">
        <f t="shared" si="23"/>
        <v>0</v>
      </c>
      <c r="D97" s="143">
        <f t="shared" si="23"/>
        <v>0</v>
      </c>
      <c r="E97" s="143">
        <f t="shared" si="23"/>
        <v>0</v>
      </c>
      <c r="F97" s="143">
        <f t="shared" si="23"/>
        <v>0</v>
      </c>
      <c r="G97" s="246">
        <f t="shared" si="23"/>
        <v>0</v>
      </c>
    </row>
    <row r="98" spans="1:7" ht="12.75" customHeight="1" x14ac:dyDescent="0.2">
      <c r="A98" s="134" t="str">
        <f>"   "&amp;Labels!C258</f>
        <v xml:space="preserve">   Total</v>
      </c>
      <c r="B98" s="145">
        <f t="shared" ref="B98:G98" si="24">SUM(B92,B97)</f>
        <v>0</v>
      </c>
      <c r="C98" s="145">
        <f t="shared" si="24"/>
        <v>0</v>
      </c>
      <c r="D98" s="145">
        <f t="shared" si="24"/>
        <v>0</v>
      </c>
      <c r="E98" s="145">
        <f t="shared" si="24"/>
        <v>0</v>
      </c>
      <c r="F98" s="145">
        <f t="shared" si="24"/>
        <v>0</v>
      </c>
      <c r="G98" s="226">
        <f t="shared" si="24"/>
        <v>0</v>
      </c>
    </row>
    <row r="99" spans="1:7" ht="12.75" customHeight="1" x14ac:dyDescent="0.2">
      <c r="A99" s="144" t="str">
        <f>"      "&amp;Labels!B217</f>
        <v xml:space="preserve">      Dir Material</v>
      </c>
      <c r="B99" s="135">
        <f t="shared" ref="B99:G102" si="25">SUM(B89,B94)</f>
        <v>0</v>
      </c>
      <c r="C99" s="135">
        <f t="shared" si="25"/>
        <v>0</v>
      </c>
      <c r="D99" s="135">
        <f t="shared" si="25"/>
        <v>0</v>
      </c>
      <c r="E99" s="135">
        <f t="shared" si="25"/>
        <v>0</v>
      </c>
      <c r="F99" s="135">
        <f t="shared" si="25"/>
        <v>0</v>
      </c>
      <c r="G99" s="258">
        <f t="shared" si="25"/>
        <v>0</v>
      </c>
    </row>
    <row r="100" spans="1:7" ht="12.75" customHeight="1" x14ac:dyDescent="0.2">
      <c r="A100" s="144" t="str">
        <f>"      "&amp;Labels!B218</f>
        <v xml:space="preserve">      Dir Labor</v>
      </c>
      <c r="B100" s="135">
        <f t="shared" si="25"/>
        <v>0</v>
      </c>
      <c r="C100" s="135">
        <f t="shared" si="25"/>
        <v>0</v>
      </c>
      <c r="D100" s="135">
        <f t="shared" si="25"/>
        <v>0</v>
      </c>
      <c r="E100" s="135">
        <f t="shared" si="25"/>
        <v>0</v>
      </c>
      <c r="F100" s="135">
        <f t="shared" si="25"/>
        <v>0</v>
      </c>
      <c r="G100" s="258">
        <f t="shared" si="25"/>
        <v>0</v>
      </c>
    </row>
    <row r="101" spans="1:7" ht="12.75" customHeight="1" x14ac:dyDescent="0.2">
      <c r="A101" s="144" t="str">
        <f>"      "&amp;Labels!B219</f>
        <v xml:space="preserve">      Dir Overhead</v>
      </c>
      <c r="B101" s="135">
        <f t="shared" si="25"/>
        <v>0</v>
      </c>
      <c r="C101" s="135">
        <f t="shared" si="25"/>
        <v>0</v>
      </c>
      <c r="D101" s="135">
        <f t="shared" si="25"/>
        <v>0</v>
      </c>
      <c r="E101" s="135">
        <f t="shared" si="25"/>
        <v>0</v>
      </c>
      <c r="F101" s="135">
        <f t="shared" si="25"/>
        <v>0</v>
      </c>
      <c r="G101" s="258">
        <f t="shared" si="25"/>
        <v>0</v>
      </c>
    </row>
    <row r="102" spans="1:7" ht="12.75" customHeight="1" x14ac:dyDescent="0.2">
      <c r="A102" s="142" t="str">
        <f>"      "&amp;Labels!C216</f>
        <v xml:space="preserve">      Total</v>
      </c>
      <c r="B102" s="143">
        <f t="shared" si="25"/>
        <v>0</v>
      </c>
      <c r="C102" s="143">
        <f t="shared" si="25"/>
        <v>0</v>
      </c>
      <c r="D102" s="143">
        <f t="shared" si="25"/>
        <v>0</v>
      </c>
      <c r="E102" s="143">
        <f t="shared" si="25"/>
        <v>0</v>
      </c>
      <c r="F102" s="143">
        <f t="shared" si="25"/>
        <v>0</v>
      </c>
      <c r="G102" s="246">
        <f t="shared" si="25"/>
        <v>0</v>
      </c>
    </row>
    <row r="103" spans="1:7" ht="12.75" customHeight="1" x14ac:dyDescent="0.2">
      <c r="A103" s="91" t="str">
        <f>Labels!C254</f>
        <v>Total</v>
      </c>
      <c r="B103" s="149">
        <f t="shared" ref="B103:G103" si="26">SUM(B82,B98)</f>
        <v>0</v>
      </c>
      <c r="C103" s="149">
        <f t="shared" si="26"/>
        <v>0</v>
      </c>
      <c r="D103" s="149">
        <f t="shared" si="26"/>
        <v>0</v>
      </c>
      <c r="E103" s="149">
        <f t="shared" si="26"/>
        <v>0</v>
      </c>
      <c r="F103" s="149">
        <f t="shared" si="26"/>
        <v>0</v>
      </c>
      <c r="G103" s="227">
        <f t="shared" si="26"/>
        <v>0</v>
      </c>
    </row>
    <row r="104" spans="1:7" ht="12.75" customHeight="1" x14ac:dyDescent="0.2">
      <c r="A104" s="142" t="str">
        <f>"   "&amp;Labels!B259</f>
        <v xml:space="preserve">   Location 1</v>
      </c>
      <c r="B104" s="143"/>
      <c r="C104" s="143"/>
      <c r="D104" s="143"/>
      <c r="E104" s="143"/>
      <c r="F104" s="143"/>
      <c r="G104" s="246"/>
    </row>
    <row r="105" spans="1:7" ht="12.75" customHeight="1" x14ac:dyDescent="0.2">
      <c r="A105" s="144" t="str">
        <f>"      "&amp;Labels!B217</f>
        <v xml:space="preserve">      Dir Material</v>
      </c>
      <c r="B105" s="135">
        <f t="shared" ref="B105:G108" si="27">SUM(B73,B89)</f>
        <v>0</v>
      </c>
      <c r="C105" s="135">
        <f t="shared" si="27"/>
        <v>0</v>
      </c>
      <c r="D105" s="135">
        <f t="shared" si="27"/>
        <v>0</v>
      </c>
      <c r="E105" s="135">
        <f t="shared" si="27"/>
        <v>0</v>
      </c>
      <c r="F105" s="135">
        <f t="shared" si="27"/>
        <v>0</v>
      </c>
      <c r="G105" s="258">
        <f t="shared" si="27"/>
        <v>0</v>
      </c>
    </row>
    <row r="106" spans="1:7" ht="12.75" customHeight="1" x14ac:dyDescent="0.2">
      <c r="A106" s="144" t="str">
        <f>"      "&amp;Labels!B218</f>
        <v xml:space="preserve">      Dir Labor</v>
      </c>
      <c r="B106" s="135">
        <f t="shared" si="27"/>
        <v>0</v>
      </c>
      <c r="C106" s="135">
        <f t="shared" si="27"/>
        <v>0</v>
      </c>
      <c r="D106" s="135">
        <f t="shared" si="27"/>
        <v>0</v>
      </c>
      <c r="E106" s="135">
        <f t="shared" si="27"/>
        <v>0</v>
      </c>
      <c r="F106" s="135">
        <f t="shared" si="27"/>
        <v>0</v>
      </c>
      <c r="G106" s="258">
        <f t="shared" si="27"/>
        <v>0</v>
      </c>
    </row>
    <row r="107" spans="1:7" ht="12.75" customHeight="1" x14ac:dyDescent="0.2">
      <c r="A107" s="144" t="str">
        <f>"      "&amp;Labels!B219</f>
        <v xml:space="preserve">      Dir Overhead</v>
      </c>
      <c r="B107" s="135">
        <f t="shared" si="27"/>
        <v>0</v>
      </c>
      <c r="C107" s="135">
        <f t="shared" si="27"/>
        <v>0</v>
      </c>
      <c r="D107" s="135">
        <f t="shared" si="27"/>
        <v>0</v>
      </c>
      <c r="E107" s="135">
        <f t="shared" si="27"/>
        <v>0</v>
      </c>
      <c r="F107" s="135">
        <f t="shared" si="27"/>
        <v>0</v>
      </c>
      <c r="G107" s="258">
        <f t="shared" si="27"/>
        <v>0</v>
      </c>
    </row>
    <row r="108" spans="1:7" ht="12.75" customHeight="1" x14ac:dyDescent="0.2">
      <c r="A108" s="142" t="str">
        <f>"      "&amp;Labels!C216</f>
        <v xml:space="preserve">      Total</v>
      </c>
      <c r="B108" s="143">
        <f t="shared" si="27"/>
        <v>0</v>
      </c>
      <c r="C108" s="143">
        <f t="shared" si="27"/>
        <v>0</v>
      </c>
      <c r="D108" s="143">
        <f t="shared" si="27"/>
        <v>0</v>
      </c>
      <c r="E108" s="143">
        <f t="shared" si="27"/>
        <v>0</v>
      </c>
      <c r="F108" s="143">
        <f t="shared" si="27"/>
        <v>0</v>
      </c>
      <c r="G108" s="246">
        <f t="shared" si="27"/>
        <v>0</v>
      </c>
    </row>
    <row r="109" spans="1:7" ht="12.75" customHeight="1" x14ac:dyDescent="0.2">
      <c r="A109" s="142" t="str">
        <f>"   "&amp;Labels!B260</f>
        <v xml:space="preserve">   Location 2</v>
      </c>
      <c r="B109" s="143"/>
      <c r="C109" s="143"/>
      <c r="D109" s="143"/>
      <c r="E109" s="143"/>
      <c r="F109" s="143"/>
      <c r="G109" s="246"/>
    </row>
    <row r="110" spans="1:7" ht="12.75" customHeight="1" x14ac:dyDescent="0.2">
      <c r="A110" s="144" t="str">
        <f>"      "&amp;Labels!B217</f>
        <v xml:space="preserve">      Dir Material</v>
      </c>
      <c r="B110" s="135">
        <f t="shared" ref="B110:G117" si="28">SUM(B78,B94)</f>
        <v>0</v>
      </c>
      <c r="C110" s="135">
        <f t="shared" si="28"/>
        <v>0</v>
      </c>
      <c r="D110" s="135">
        <f t="shared" si="28"/>
        <v>0</v>
      </c>
      <c r="E110" s="135">
        <f t="shared" si="28"/>
        <v>0</v>
      </c>
      <c r="F110" s="135">
        <f t="shared" si="28"/>
        <v>0</v>
      </c>
      <c r="G110" s="258">
        <f t="shared" si="28"/>
        <v>0</v>
      </c>
    </row>
    <row r="111" spans="1:7" ht="12.75" customHeight="1" x14ac:dyDescent="0.2">
      <c r="A111" s="144" t="str">
        <f>"      "&amp;Labels!B218</f>
        <v xml:space="preserve">      Dir Labor</v>
      </c>
      <c r="B111" s="135">
        <f t="shared" si="28"/>
        <v>0</v>
      </c>
      <c r="C111" s="135">
        <f t="shared" si="28"/>
        <v>0</v>
      </c>
      <c r="D111" s="135">
        <f t="shared" si="28"/>
        <v>0</v>
      </c>
      <c r="E111" s="135">
        <f t="shared" si="28"/>
        <v>0</v>
      </c>
      <c r="F111" s="135">
        <f t="shared" si="28"/>
        <v>0</v>
      </c>
      <c r="G111" s="258">
        <f t="shared" si="28"/>
        <v>0</v>
      </c>
    </row>
    <row r="112" spans="1:7" ht="12.75" customHeight="1" x14ac:dyDescent="0.2">
      <c r="A112" s="144" t="str">
        <f>"      "&amp;Labels!B219</f>
        <v xml:space="preserve">      Dir Overhead</v>
      </c>
      <c r="B112" s="135">
        <f t="shared" si="28"/>
        <v>0</v>
      </c>
      <c r="C112" s="135">
        <f t="shared" si="28"/>
        <v>0</v>
      </c>
      <c r="D112" s="135">
        <f t="shared" si="28"/>
        <v>0</v>
      </c>
      <c r="E112" s="135">
        <f t="shared" si="28"/>
        <v>0</v>
      </c>
      <c r="F112" s="135">
        <f t="shared" si="28"/>
        <v>0</v>
      </c>
      <c r="G112" s="258">
        <f t="shared" si="28"/>
        <v>0</v>
      </c>
    </row>
    <row r="113" spans="1:7" ht="12.75" customHeight="1" x14ac:dyDescent="0.2">
      <c r="A113" s="142" t="str">
        <f>"      "&amp;Labels!C216</f>
        <v xml:space="preserve">      Total</v>
      </c>
      <c r="B113" s="143">
        <f t="shared" si="28"/>
        <v>0</v>
      </c>
      <c r="C113" s="143">
        <f t="shared" si="28"/>
        <v>0</v>
      </c>
      <c r="D113" s="143">
        <f t="shared" si="28"/>
        <v>0</v>
      </c>
      <c r="E113" s="143">
        <f t="shared" si="28"/>
        <v>0</v>
      </c>
      <c r="F113" s="143">
        <f t="shared" si="28"/>
        <v>0</v>
      </c>
      <c r="G113" s="246">
        <f t="shared" si="28"/>
        <v>0</v>
      </c>
    </row>
    <row r="114" spans="1:7" ht="12.75" customHeight="1" x14ac:dyDescent="0.2">
      <c r="A114" s="134" t="str">
        <f>"   "&amp;Labels!C258</f>
        <v xml:space="preserve">   Total</v>
      </c>
      <c r="B114" s="145">
        <f t="shared" si="28"/>
        <v>0</v>
      </c>
      <c r="C114" s="145">
        <f t="shared" si="28"/>
        <v>0</v>
      </c>
      <c r="D114" s="145">
        <f t="shared" si="28"/>
        <v>0</v>
      </c>
      <c r="E114" s="145">
        <f t="shared" si="28"/>
        <v>0</v>
      </c>
      <c r="F114" s="145">
        <f t="shared" si="28"/>
        <v>0</v>
      </c>
      <c r="G114" s="226">
        <f t="shared" si="28"/>
        <v>0</v>
      </c>
    </row>
    <row r="115" spans="1:7" ht="12.75" customHeight="1" x14ac:dyDescent="0.2">
      <c r="A115" s="144" t="str">
        <f>"      "&amp;Labels!B217</f>
        <v xml:space="preserve">      Dir Material</v>
      </c>
      <c r="B115" s="135">
        <f t="shared" si="28"/>
        <v>0</v>
      </c>
      <c r="C115" s="135">
        <f t="shared" si="28"/>
        <v>0</v>
      </c>
      <c r="D115" s="135">
        <f t="shared" si="28"/>
        <v>0</v>
      </c>
      <c r="E115" s="135">
        <f t="shared" si="28"/>
        <v>0</v>
      </c>
      <c r="F115" s="135">
        <f t="shared" si="28"/>
        <v>0</v>
      </c>
      <c r="G115" s="258">
        <f t="shared" si="28"/>
        <v>0</v>
      </c>
    </row>
    <row r="116" spans="1:7" ht="12.75" customHeight="1" x14ac:dyDescent="0.2">
      <c r="A116" s="144" t="str">
        <f>"      "&amp;Labels!B218</f>
        <v xml:space="preserve">      Dir Labor</v>
      </c>
      <c r="B116" s="135">
        <f t="shared" si="28"/>
        <v>0</v>
      </c>
      <c r="C116" s="135">
        <f t="shared" si="28"/>
        <v>0</v>
      </c>
      <c r="D116" s="135">
        <f t="shared" si="28"/>
        <v>0</v>
      </c>
      <c r="E116" s="135">
        <f t="shared" si="28"/>
        <v>0</v>
      </c>
      <c r="F116" s="135">
        <f t="shared" si="28"/>
        <v>0</v>
      </c>
      <c r="G116" s="258">
        <f t="shared" si="28"/>
        <v>0</v>
      </c>
    </row>
    <row r="117" spans="1:7" ht="12.75" customHeight="1" x14ac:dyDescent="0.2">
      <c r="A117" s="144" t="str">
        <f>"      "&amp;Labels!B219</f>
        <v xml:space="preserve">      Dir Overhead</v>
      </c>
      <c r="B117" s="135">
        <f t="shared" si="28"/>
        <v>0</v>
      </c>
      <c r="C117" s="135">
        <f t="shared" si="28"/>
        <v>0</v>
      </c>
      <c r="D117" s="135">
        <f t="shared" si="28"/>
        <v>0</v>
      </c>
      <c r="E117" s="135">
        <f t="shared" si="28"/>
        <v>0</v>
      </c>
      <c r="F117" s="135">
        <f t="shared" si="28"/>
        <v>0</v>
      </c>
      <c r="G117" s="258">
        <f t="shared" si="28"/>
        <v>0</v>
      </c>
    </row>
    <row r="118" spans="1:7" ht="12.75" customHeight="1" x14ac:dyDescent="0.2">
      <c r="A118" s="163" t="str">
        <f>"      "&amp;Labels!C216</f>
        <v xml:space="preserve">      Total</v>
      </c>
      <c r="B118" s="164">
        <f t="shared" ref="B118:G118" si="29">SUM(B82,B98)</f>
        <v>0</v>
      </c>
      <c r="C118" s="164">
        <f t="shared" si="29"/>
        <v>0</v>
      </c>
      <c r="D118" s="164">
        <f t="shared" si="29"/>
        <v>0</v>
      </c>
      <c r="E118" s="164">
        <f t="shared" si="29"/>
        <v>0</v>
      </c>
      <c r="F118" s="164">
        <f t="shared" si="29"/>
        <v>0</v>
      </c>
      <c r="G118" s="259">
        <f t="shared" si="29"/>
        <v>0</v>
      </c>
    </row>
    <row r="119" spans="1:7" ht="12.75" customHeight="1" x14ac:dyDescent="0.2">
      <c r="A119" s="1" t="str">
        <f>Labels!B55</f>
        <v>Direct Cost / U</v>
      </c>
    </row>
    <row r="120" spans="1:7" ht="12.75" customHeight="1" x14ac:dyDescent="0.2">
      <c r="B120" s="10" t="str">
        <f>'(FnCalls 1)'!F41</f>
        <v>MMM 2011</v>
      </c>
      <c r="C120" s="11" t="str">
        <f>'(FnCalls 1)'!F42</f>
        <v>MMM 2011</v>
      </c>
      <c r="D120" s="11" t="str">
        <f>'(FnCalls 1)'!F43</f>
        <v>MMM 2011</v>
      </c>
      <c r="E120" s="11" t="str">
        <f>'(FnCalls 1)'!F44</f>
        <v>MMM 2011</v>
      </c>
      <c r="F120" s="11" t="str">
        <f>'(FnCalls 1)'!F45</f>
        <v>MMM 2011</v>
      </c>
      <c r="G120" s="12" t="str">
        <f>'(FnCalls 1)'!F46</f>
        <v>MMM 2011</v>
      </c>
    </row>
    <row r="121" spans="1:7" ht="12.75" customHeight="1" x14ac:dyDescent="0.2">
      <c r="A121" s="128" t="str">
        <f>Labels!B255</f>
        <v>Product 1</v>
      </c>
      <c r="B121" s="178"/>
      <c r="C121" s="178"/>
      <c r="D121" s="178"/>
      <c r="E121" s="178"/>
      <c r="F121" s="178"/>
      <c r="G121" s="254"/>
    </row>
    <row r="122" spans="1:7" ht="12.75" customHeight="1" x14ac:dyDescent="0.2">
      <c r="A122" s="142" t="str">
        <f>"   "&amp;Labels!B217</f>
        <v xml:space="preserve">   Dir Material</v>
      </c>
      <c r="B122" s="180">
        <f t="shared" ref="B122:G122" si="30">B138</f>
        <v>0</v>
      </c>
      <c r="C122" s="180">
        <f t="shared" si="30"/>
        <v>0</v>
      </c>
      <c r="D122" s="180">
        <f t="shared" si="30"/>
        <v>0</v>
      </c>
      <c r="E122" s="180">
        <f t="shared" si="30"/>
        <v>0</v>
      </c>
      <c r="F122" s="180">
        <f t="shared" si="30"/>
        <v>0</v>
      </c>
      <c r="G122" s="260">
        <f t="shared" si="30"/>
        <v>0</v>
      </c>
    </row>
    <row r="123" spans="1:7" ht="12.75" customHeight="1" x14ac:dyDescent="0.2">
      <c r="A123" s="142" t="str">
        <f>"   "&amp;Labels!B218</f>
        <v xml:space="preserve">   Dir Labor</v>
      </c>
      <c r="B123" s="180">
        <f>0</f>
        <v>0</v>
      </c>
      <c r="C123" s="180">
        <f>0</f>
        <v>0</v>
      </c>
      <c r="D123" s="180">
        <f>0</f>
        <v>0</v>
      </c>
      <c r="E123" s="180">
        <f>0</f>
        <v>0</v>
      </c>
      <c r="F123" s="180">
        <f>0</f>
        <v>0</v>
      </c>
      <c r="G123" s="260">
        <f>0</f>
        <v>0</v>
      </c>
    </row>
    <row r="124" spans="1:7" ht="12.75" customHeight="1" x14ac:dyDescent="0.2">
      <c r="A124" s="142" t="str">
        <f>"   "&amp;Labels!B219</f>
        <v xml:space="preserve">   Dir Overhead</v>
      </c>
      <c r="B124" s="180">
        <f>Inputs!D63</f>
        <v>0</v>
      </c>
      <c r="C124" s="180">
        <f>Inputs!E63</f>
        <v>0</v>
      </c>
      <c r="D124" s="180">
        <f>Inputs!F63</f>
        <v>0</v>
      </c>
      <c r="E124" s="180">
        <f>Inputs!G63</f>
        <v>0</v>
      </c>
      <c r="F124" s="180">
        <f>Inputs!H63</f>
        <v>0</v>
      </c>
      <c r="G124" s="260">
        <f>Inputs!I63</f>
        <v>0</v>
      </c>
    </row>
    <row r="125" spans="1:7" ht="12.75" customHeight="1" x14ac:dyDescent="0.2">
      <c r="A125" s="134" t="str">
        <f>"   "&amp;Labels!C216</f>
        <v xml:space="preserve">   Total</v>
      </c>
      <c r="B125" s="182">
        <f t="shared" ref="B125:G125" si="31">SUM(B122:B124)</f>
        <v>0</v>
      </c>
      <c r="C125" s="182">
        <f t="shared" si="31"/>
        <v>0</v>
      </c>
      <c r="D125" s="182">
        <f t="shared" si="31"/>
        <v>0</v>
      </c>
      <c r="E125" s="182">
        <f t="shared" si="31"/>
        <v>0</v>
      </c>
      <c r="F125" s="182">
        <f t="shared" si="31"/>
        <v>0</v>
      </c>
      <c r="G125" s="255">
        <f t="shared" si="31"/>
        <v>0</v>
      </c>
    </row>
    <row r="126" spans="1:7" ht="12.75" customHeight="1" x14ac:dyDescent="0.2">
      <c r="A126" s="134" t="str">
        <f>Labels!B256</f>
        <v>Product 2</v>
      </c>
      <c r="B126" s="182"/>
      <c r="C126" s="182"/>
      <c r="D126" s="182"/>
      <c r="E126" s="182"/>
      <c r="F126" s="182"/>
      <c r="G126" s="255"/>
    </row>
    <row r="127" spans="1:7" ht="12.75" customHeight="1" x14ac:dyDescent="0.2">
      <c r="A127" s="142" t="str">
        <f>"   "&amp;Labels!B217</f>
        <v xml:space="preserve">   Dir Material</v>
      </c>
      <c r="B127" s="180">
        <f t="shared" ref="B127:G127" si="32">B139</f>
        <v>0</v>
      </c>
      <c r="C127" s="180">
        <f t="shared" si="32"/>
        <v>0</v>
      </c>
      <c r="D127" s="180">
        <f t="shared" si="32"/>
        <v>0</v>
      </c>
      <c r="E127" s="180">
        <f t="shared" si="32"/>
        <v>0</v>
      </c>
      <c r="F127" s="180">
        <f t="shared" si="32"/>
        <v>0</v>
      </c>
      <c r="G127" s="260">
        <f t="shared" si="32"/>
        <v>0</v>
      </c>
    </row>
    <row r="128" spans="1:7" ht="12.75" customHeight="1" x14ac:dyDescent="0.2">
      <c r="A128" s="142" t="str">
        <f>"   "&amp;Labels!B218</f>
        <v xml:space="preserve">   Dir Labor</v>
      </c>
      <c r="B128" s="180">
        <f>0</f>
        <v>0</v>
      </c>
      <c r="C128" s="180">
        <f>0</f>
        <v>0</v>
      </c>
      <c r="D128" s="180">
        <f>0</f>
        <v>0</v>
      </c>
      <c r="E128" s="180">
        <f>0</f>
        <v>0</v>
      </c>
      <c r="F128" s="180">
        <f>0</f>
        <v>0</v>
      </c>
      <c r="G128" s="260">
        <f>0</f>
        <v>0</v>
      </c>
    </row>
    <row r="129" spans="1:8" ht="12.75" customHeight="1" x14ac:dyDescent="0.2">
      <c r="A129" s="142" t="str">
        <f>"   "&amp;Labels!B219</f>
        <v xml:space="preserve">   Dir Overhead</v>
      </c>
      <c r="B129" s="180">
        <f>Inputs!D64</f>
        <v>0</v>
      </c>
      <c r="C129" s="180">
        <f>Inputs!E64</f>
        <v>0</v>
      </c>
      <c r="D129" s="180">
        <f>Inputs!F64</f>
        <v>0</v>
      </c>
      <c r="E129" s="180">
        <f>Inputs!G64</f>
        <v>0</v>
      </c>
      <c r="F129" s="180">
        <f>Inputs!H64</f>
        <v>0</v>
      </c>
      <c r="G129" s="260">
        <f>Inputs!I64</f>
        <v>0</v>
      </c>
    </row>
    <row r="130" spans="1:8" ht="12.75" customHeight="1" x14ac:dyDescent="0.2">
      <c r="A130" s="134" t="str">
        <f>"   "&amp;Labels!C216</f>
        <v xml:space="preserve">   Total</v>
      </c>
      <c r="B130" s="182">
        <f t="shared" ref="B130:G130" si="33">SUM(B127:B129)</f>
        <v>0</v>
      </c>
      <c r="C130" s="182">
        <f t="shared" si="33"/>
        <v>0</v>
      </c>
      <c r="D130" s="182">
        <f t="shared" si="33"/>
        <v>0</v>
      </c>
      <c r="E130" s="182">
        <f t="shared" si="33"/>
        <v>0</v>
      </c>
      <c r="F130" s="182">
        <f t="shared" si="33"/>
        <v>0</v>
      </c>
      <c r="G130" s="255">
        <f t="shared" si="33"/>
        <v>0</v>
      </c>
    </row>
    <row r="131" spans="1:8" ht="12.75" customHeight="1" x14ac:dyDescent="0.2">
      <c r="A131" s="91" t="str">
        <f>Labels!C254</f>
        <v>Total</v>
      </c>
      <c r="B131" s="256">
        <f t="shared" ref="B131:G131" si="34">SUM(B132:B134)</f>
        <v>0</v>
      </c>
      <c r="C131" s="256">
        <f t="shared" si="34"/>
        <v>0</v>
      </c>
      <c r="D131" s="256">
        <f t="shared" si="34"/>
        <v>0</v>
      </c>
      <c r="E131" s="256">
        <f t="shared" si="34"/>
        <v>0</v>
      </c>
      <c r="F131" s="256">
        <f t="shared" si="34"/>
        <v>0</v>
      </c>
      <c r="G131" s="257">
        <f t="shared" si="34"/>
        <v>0</v>
      </c>
    </row>
    <row r="132" spans="1:8" ht="12.75" customHeight="1" x14ac:dyDescent="0.2">
      <c r="A132" s="142" t="str">
        <f>"   "&amp;Labels!B217</f>
        <v xml:space="preserve">   Dir Material</v>
      </c>
      <c r="B132" s="180">
        <f>IF('Cogs GM'!B111=0,0,'Cogs GM'!B125/'Cogs GM'!B111)</f>
        <v>0</v>
      </c>
      <c r="C132" s="180">
        <f>IF('Cogs GM'!C111=0,0,'Cogs GM'!C125/'Cogs GM'!C111)</f>
        <v>0</v>
      </c>
      <c r="D132" s="180">
        <f>IF('Cogs GM'!D111=0,0,'Cogs GM'!D125/'Cogs GM'!D111)</f>
        <v>0</v>
      </c>
      <c r="E132" s="180">
        <f>IF('Cogs GM'!E111=0,0,'Cogs GM'!E125/'Cogs GM'!E111)</f>
        <v>0</v>
      </c>
      <c r="F132" s="180">
        <f>IF('Cogs GM'!F111=0,0,'Cogs GM'!F125/'Cogs GM'!F111)</f>
        <v>0</v>
      </c>
      <c r="G132" s="260">
        <f>IF('Cogs GM'!G111=0,0,'Cogs GM'!G125/'Cogs GM'!G111)</f>
        <v>0</v>
      </c>
    </row>
    <row r="133" spans="1:8" ht="12.75" customHeight="1" x14ac:dyDescent="0.2">
      <c r="A133" s="142" t="str">
        <f>"   "&amp;Labels!B218</f>
        <v xml:space="preserve">   Dir Labor</v>
      </c>
      <c r="B133" s="180">
        <f>IF('Cogs GM'!B111=0,0,'Cogs GM'!B126/'Cogs GM'!B111)</f>
        <v>0</v>
      </c>
      <c r="C133" s="180">
        <f>IF('Cogs GM'!C111=0,0,'Cogs GM'!C126/'Cogs GM'!C111)</f>
        <v>0</v>
      </c>
      <c r="D133" s="180">
        <f>IF('Cogs GM'!D111=0,0,'Cogs GM'!D126/'Cogs GM'!D111)</f>
        <v>0</v>
      </c>
      <c r="E133" s="180">
        <f>IF('Cogs GM'!E111=0,0,'Cogs GM'!E126/'Cogs GM'!E111)</f>
        <v>0</v>
      </c>
      <c r="F133" s="180">
        <f>IF('Cogs GM'!F111=0,0,'Cogs GM'!F126/'Cogs GM'!F111)</f>
        <v>0</v>
      </c>
      <c r="G133" s="260">
        <f>IF('Cogs GM'!G111=0,0,'Cogs GM'!G126/'Cogs GM'!G111)</f>
        <v>0</v>
      </c>
    </row>
    <row r="134" spans="1:8" ht="12.75" customHeight="1" x14ac:dyDescent="0.2">
      <c r="A134" s="142" t="str">
        <f>"   "&amp;Labels!B219</f>
        <v xml:space="preserve">   Dir Overhead</v>
      </c>
      <c r="B134" s="180">
        <f>IF('Cogs GM'!B111=0,0,'Cogs GM'!B127/'Cogs GM'!B111)</f>
        <v>0</v>
      </c>
      <c r="C134" s="180">
        <f>IF('Cogs GM'!C111=0,0,'Cogs GM'!C127/'Cogs GM'!C111)</f>
        <v>0</v>
      </c>
      <c r="D134" s="180">
        <f>IF('Cogs GM'!D111=0,0,'Cogs GM'!D127/'Cogs GM'!D111)</f>
        <v>0</v>
      </c>
      <c r="E134" s="180">
        <f>IF('Cogs GM'!E111=0,0,'Cogs GM'!E127/'Cogs GM'!E111)</f>
        <v>0</v>
      </c>
      <c r="F134" s="180">
        <f>IF('Cogs GM'!F111=0,0,'Cogs GM'!F127/'Cogs GM'!F111)</f>
        <v>0</v>
      </c>
      <c r="G134" s="260">
        <f>IF('Cogs GM'!G111=0,0,'Cogs GM'!G127/'Cogs GM'!G111)</f>
        <v>0</v>
      </c>
    </row>
    <row r="135" spans="1:8" ht="12.75" customHeight="1" x14ac:dyDescent="0.2">
      <c r="A135" s="131" t="str">
        <f>"   "&amp;Labels!C216</f>
        <v xml:space="preserve">   Total</v>
      </c>
      <c r="B135" s="194">
        <f t="shared" ref="B135:G135" si="35">SUM(B132:B134)</f>
        <v>0</v>
      </c>
      <c r="C135" s="194">
        <f t="shared" si="35"/>
        <v>0</v>
      </c>
      <c r="D135" s="194">
        <f t="shared" si="35"/>
        <v>0</v>
      </c>
      <c r="E135" s="194">
        <f t="shared" si="35"/>
        <v>0</v>
      </c>
      <c r="F135" s="194">
        <f t="shared" si="35"/>
        <v>0</v>
      </c>
      <c r="G135" s="261">
        <f t="shared" si="35"/>
        <v>0</v>
      </c>
    </row>
    <row r="136" spans="1:8" ht="12.75" customHeight="1" x14ac:dyDescent="0.2">
      <c r="A136" s="1" t="str">
        <f>Labels!B50</f>
        <v>Direct Material Cost / U</v>
      </c>
    </row>
    <row r="137" spans="1:8" ht="12.75" customHeight="1" x14ac:dyDescent="0.2">
      <c r="B137" s="10" t="str">
        <f>'(FnCalls 1)'!F41</f>
        <v>MMM 2011</v>
      </c>
      <c r="C137" s="11" t="str">
        <f>'(FnCalls 1)'!F42</f>
        <v>MMM 2011</v>
      </c>
      <c r="D137" s="11" t="str">
        <f>'(FnCalls 1)'!F43</f>
        <v>MMM 2011</v>
      </c>
      <c r="E137" s="11" t="str">
        <f>'(FnCalls 1)'!F44</f>
        <v>MMM 2011</v>
      </c>
      <c r="F137" s="11" t="str">
        <f>'(FnCalls 1)'!F45</f>
        <v>MMM 2011</v>
      </c>
      <c r="G137" s="12" t="str">
        <f>'(FnCalls 1)'!F46</f>
        <v>MMM 2011</v>
      </c>
    </row>
    <row r="138" spans="1:8" ht="12.75" customHeight="1" x14ac:dyDescent="0.2">
      <c r="A138" s="128" t="str">
        <f>Labels!B255</f>
        <v>Product 1</v>
      </c>
      <c r="B138" s="178">
        <f>Inputs!E51*Inputs!E54</f>
        <v>0</v>
      </c>
      <c r="C138" s="178">
        <f>Inputs!F51*Inputs!F54</f>
        <v>0</v>
      </c>
      <c r="D138" s="178">
        <f>Inputs!G51*Inputs!G54</f>
        <v>0</v>
      </c>
      <c r="E138" s="178">
        <f>Inputs!H51*Inputs!H54</f>
        <v>0</v>
      </c>
      <c r="F138" s="178">
        <f>Inputs!I51*Inputs!I54</f>
        <v>0</v>
      </c>
      <c r="G138" s="254">
        <f>Inputs!J51*Inputs!J54</f>
        <v>0</v>
      </c>
    </row>
    <row r="139" spans="1:8" ht="12.75" customHeight="1" x14ac:dyDescent="0.2">
      <c r="A139" s="134" t="str">
        <f>Labels!B256</f>
        <v>Product 2</v>
      </c>
      <c r="B139" s="182">
        <f>Inputs!E52*Inputs!E54</f>
        <v>0</v>
      </c>
      <c r="C139" s="182">
        <f>Inputs!F52*Inputs!F54</f>
        <v>0</v>
      </c>
      <c r="D139" s="182">
        <f>Inputs!G52*Inputs!G54</f>
        <v>0</v>
      </c>
      <c r="E139" s="182">
        <f>Inputs!H52*Inputs!H54</f>
        <v>0</v>
      </c>
      <c r="F139" s="182">
        <f>Inputs!I52*Inputs!I54</f>
        <v>0</v>
      </c>
      <c r="G139" s="255">
        <f>Inputs!J52*Inputs!J54</f>
        <v>0</v>
      </c>
    </row>
    <row r="140" spans="1:8" ht="12.75" customHeight="1" x14ac:dyDescent="0.2">
      <c r="A140" s="91" t="str">
        <f>Labels!C254</f>
        <v>Total</v>
      </c>
      <c r="B140" s="256">
        <f>IF('Cogs GM'!B111=0,0,B115/'Cogs GM'!B111)</f>
        <v>0</v>
      </c>
      <c r="C140" s="256">
        <f>IF('Cogs GM'!C111=0,0,C115/'Cogs GM'!C111)</f>
        <v>0</v>
      </c>
      <c r="D140" s="256">
        <f>IF('Cogs GM'!D111=0,0,D115/'Cogs GM'!D111)</f>
        <v>0</v>
      </c>
      <c r="E140" s="256">
        <f>IF('Cogs GM'!E111=0,0,E115/'Cogs GM'!E111)</f>
        <v>0</v>
      </c>
      <c r="F140" s="256">
        <f>IF('Cogs GM'!F111=0,0,F115/'Cogs GM'!F111)</f>
        <v>0</v>
      </c>
      <c r="G140" s="257">
        <f>IF('Cogs GM'!G111=0,0,G115/'Cogs GM'!G111)</f>
        <v>0</v>
      </c>
    </row>
    <row r="141" spans="1:8" ht="12.75" customHeight="1" x14ac:dyDescent="0.2">
      <c r="A141" s="1" t="str">
        <f>Labels!B89</f>
        <v>Finished Inventory (U)</v>
      </c>
    </row>
    <row r="142" spans="1:8" ht="12.75" customHeight="1" x14ac:dyDescent="0.2">
      <c r="B142" s="10" t="str">
        <f>'(FnCalls 1)'!F40</f>
        <v>MMM 2010</v>
      </c>
      <c r="C142" s="11" t="str">
        <f>'(FnCalls 1)'!F41</f>
        <v>MMM 2011</v>
      </c>
      <c r="D142" s="11" t="str">
        <f>'(FnCalls 1)'!F42</f>
        <v>MMM 2011</v>
      </c>
      <c r="E142" s="11" t="str">
        <f>'(FnCalls 1)'!F43</f>
        <v>MMM 2011</v>
      </c>
      <c r="F142" s="11" t="str">
        <f>'(FnCalls 1)'!F44</f>
        <v>MMM 2011</v>
      </c>
      <c r="G142" s="11" t="str">
        <f>'(FnCalls 1)'!F45</f>
        <v>MMM 2011</v>
      </c>
      <c r="H142" s="12" t="str">
        <f>'(FnCalls 1)'!F46</f>
        <v>MMM 2011</v>
      </c>
    </row>
    <row r="143" spans="1:8" ht="12.75" customHeight="1" x14ac:dyDescent="0.2">
      <c r="A143" s="128" t="str">
        <f>Labels!B255</f>
        <v>Product 1</v>
      </c>
      <c r="B143" s="169">
        <f>0/2</f>
        <v>0</v>
      </c>
      <c r="C143" s="169">
        <f>Assets!C24</f>
        <v>0</v>
      </c>
      <c r="D143" s="169">
        <f>Assets!D24</f>
        <v>0</v>
      </c>
      <c r="E143" s="169">
        <f>Assets!E24</f>
        <v>0</v>
      </c>
      <c r="F143" s="169">
        <f>Assets!F24</f>
        <v>0</v>
      </c>
      <c r="G143" s="169">
        <f>Assets!G24</f>
        <v>0</v>
      </c>
      <c r="H143" s="228">
        <f>Assets!H24</f>
        <v>0</v>
      </c>
    </row>
    <row r="144" spans="1:8" ht="12.75" customHeight="1" x14ac:dyDescent="0.2">
      <c r="A144" s="134" t="str">
        <f>Labels!B256</f>
        <v>Product 2</v>
      </c>
      <c r="B144" s="174">
        <f>0/2</f>
        <v>0</v>
      </c>
      <c r="C144" s="174">
        <f>Assets!C28</f>
        <v>0</v>
      </c>
      <c r="D144" s="174">
        <f>Assets!D28</f>
        <v>0</v>
      </c>
      <c r="E144" s="174">
        <f>Assets!E28</f>
        <v>0</v>
      </c>
      <c r="F144" s="174">
        <f>Assets!F28</f>
        <v>0</v>
      </c>
      <c r="G144" s="174">
        <f>Assets!G28</f>
        <v>0</v>
      </c>
      <c r="H144" s="230">
        <f>Assets!H28</f>
        <v>0</v>
      </c>
    </row>
    <row r="145" spans="1:8" ht="12.75" customHeight="1" x14ac:dyDescent="0.2">
      <c r="A145" s="91" t="str">
        <f>Labels!C254</f>
        <v>Total</v>
      </c>
      <c r="B145" s="231">
        <f t="shared" ref="B145:H145" si="36">SUM(B143:B144)</f>
        <v>0</v>
      </c>
      <c r="C145" s="231">
        <f t="shared" si="36"/>
        <v>0</v>
      </c>
      <c r="D145" s="231">
        <f t="shared" si="36"/>
        <v>0</v>
      </c>
      <c r="E145" s="231">
        <f t="shared" si="36"/>
        <v>0</v>
      </c>
      <c r="F145" s="231">
        <f t="shared" si="36"/>
        <v>0</v>
      </c>
      <c r="G145" s="231">
        <f t="shared" si="36"/>
        <v>0</v>
      </c>
      <c r="H145" s="232">
        <f t="shared" si="36"/>
        <v>0</v>
      </c>
    </row>
    <row r="146" spans="1:8" ht="12.75" customHeight="1" x14ac:dyDescent="0.2">
      <c r="A146" s="1" t="str">
        <f>Labels!B167</f>
        <v>Time</v>
      </c>
    </row>
    <row r="147" spans="1:8" ht="12.75" customHeight="1" x14ac:dyDescent="0.2">
      <c r="B147" s="10" t="str">
        <f>'(FnCalls 1)'!F40</f>
        <v>MMM 2010</v>
      </c>
      <c r="C147" s="11" t="str">
        <f>'(FnCalls 1)'!F41</f>
        <v>MMM 2011</v>
      </c>
      <c r="D147" s="11" t="str">
        <f>'(FnCalls 1)'!F42</f>
        <v>MMM 2011</v>
      </c>
      <c r="E147" s="11" t="str">
        <f>'(FnCalls 1)'!F43</f>
        <v>MMM 2011</v>
      </c>
      <c r="F147" s="11" t="str">
        <f>'(FnCalls 1)'!F44</f>
        <v>MMM 2011</v>
      </c>
      <c r="G147" s="11" t="str">
        <f>'(FnCalls 1)'!F45</f>
        <v>MMM 2011</v>
      </c>
      <c r="H147" s="12" t="str">
        <f>'(FnCalls 1)'!F46</f>
        <v>MMM 2011</v>
      </c>
    </row>
    <row r="148" spans="1:8" ht="12.75" customHeight="1" x14ac:dyDescent="0.2">
      <c r="A148" s="91"/>
      <c r="B148" s="211">
        <v>0</v>
      </c>
      <c r="C148" s="211">
        <f t="shared" ref="C148:H148" si="37">B148+1/12</f>
        <v>8.3333333333333329E-2</v>
      </c>
      <c r="D148" s="211">
        <f t="shared" si="37"/>
        <v>0.16666666666666666</v>
      </c>
      <c r="E148" s="211">
        <f t="shared" si="37"/>
        <v>0.25</v>
      </c>
      <c r="F148" s="211">
        <f t="shared" si="37"/>
        <v>0.33333333333333331</v>
      </c>
      <c r="G148" s="211">
        <f t="shared" si="37"/>
        <v>0.41666666666666663</v>
      </c>
      <c r="H148" s="262">
        <f t="shared" si="37"/>
        <v>0.49999999999999994</v>
      </c>
    </row>
    <row r="149" spans="1:8" ht="12.75" customHeight="1" x14ac:dyDescent="0.2">
      <c r="A149" s="1" t="str">
        <f>Labels!B90</f>
        <v>Initial FG Inventory U</v>
      </c>
    </row>
    <row r="150" spans="1:8" ht="12.75" customHeight="1" x14ac:dyDescent="0.2">
      <c r="B150" s="94"/>
    </row>
    <row r="151" spans="1:8" ht="12.75" customHeight="1" x14ac:dyDescent="0.2">
      <c r="A151" s="128" t="str">
        <f>Labels!B255</f>
        <v>Product 1</v>
      </c>
      <c r="B151" s="228">
        <f>Inputs!E165</f>
        <v>0</v>
      </c>
    </row>
    <row r="152" spans="1:8" ht="12.75" customHeight="1" x14ac:dyDescent="0.2">
      <c r="A152" s="134" t="str">
        <f>Labels!B256</f>
        <v>Product 2</v>
      </c>
      <c r="B152" s="230">
        <f>Inputs!E166</f>
        <v>0</v>
      </c>
    </row>
    <row r="153" spans="1:8" ht="12.75" customHeight="1" x14ac:dyDescent="0.2">
      <c r="A153" s="91" t="str">
        <f>Labels!C254</f>
        <v>Total</v>
      </c>
      <c r="B153" s="232">
        <f>SUM(B151:B152)</f>
        <v>0</v>
      </c>
    </row>
    <row r="154" spans="1:8" ht="12.75" customHeight="1" x14ac:dyDescent="0.2">
      <c r="A154" s="1" t="str">
        <f>Labels!B64</f>
        <v>Employee Count</v>
      </c>
    </row>
    <row r="155" spans="1:8" ht="12.75" customHeight="1" x14ac:dyDescent="0.2">
      <c r="B155" s="10" t="str">
        <f>'(FnCalls 1)'!F41</f>
        <v>MMM 2011</v>
      </c>
      <c r="C155" s="11" t="str">
        <f>'(FnCalls 1)'!F42</f>
        <v>MMM 2011</v>
      </c>
      <c r="D155" s="11" t="str">
        <f>'(FnCalls 1)'!F43</f>
        <v>MMM 2011</v>
      </c>
      <c r="E155" s="11" t="str">
        <f>'(FnCalls 1)'!F44</f>
        <v>MMM 2011</v>
      </c>
      <c r="F155" s="11" t="str">
        <f>'(FnCalls 1)'!F45</f>
        <v>MMM 2011</v>
      </c>
      <c r="G155" s="12" t="str">
        <f>'(FnCalls 1)'!F46</f>
        <v>MMM 2011</v>
      </c>
    </row>
    <row r="156" spans="1:8" ht="12.75" customHeight="1" x14ac:dyDescent="0.2">
      <c r="A156" s="128" t="str">
        <f>Labels!B213</f>
        <v>Sales</v>
      </c>
      <c r="B156" s="196"/>
      <c r="C156" s="196"/>
      <c r="D156" s="196"/>
      <c r="E156" s="196"/>
      <c r="F156" s="196"/>
      <c r="G156" s="263"/>
    </row>
    <row r="157" spans="1:8" ht="12.75" customHeight="1" x14ac:dyDescent="0.2">
      <c r="A157" s="142" t="str">
        <f>"   "&amp;Labels!B234</f>
        <v xml:space="preserve">   Job Level 1</v>
      </c>
      <c r="B157" s="197">
        <f>Inputs!D73</f>
        <v>0</v>
      </c>
      <c r="C157" s="197">
        <f>Inputs!E73</f>
        <v>0</v>
      </c>
      <c r="D157" s="197">
        <f>Inputs!F73</f>
        <v>0</v>
      </c>
      <c r="E157" s="197">
        <f>Inputs!G73</f>
        <v>0</v>
      </c>
      <c r="F157" s="197">
        <f>Inputs!H73</f>
        <v>0</v>
      </c>
      <c r="G157" s="264">
        <f>Inputs!I73</f>
        <v>0</v>
      </c>
    </row>
    <row r="158" spans="1:8" ht="12.75" customHeight="1" x14ac:dyDescent="0.2">
      <c r="A158" s="142" t="str">
        <f>"   "&amp;Labels!B235</f>
        <v xml:space="preserve">   Job Level 2</v>
      </c>
      <c r="B158" s="197">
        <f>Inputs!D74</f>
        <v>0</v>
      </c>
      <c r="C158" s="197">
        <f>Inputs!E74</f>
        <v>0</v>
      </c>
      <c r="D158" s="197">
        <f>Inputs!F74</f>
        <v>0</v>
      </c>
      <c r="E158" s="197">
        <f>Inputs!G74</f>
        <v>0</v>
      </c>
      <c r="F158" s="197">
        <f>Inputs!H74</f>
        <v>0</v>
      </c>
      <c r="G158" s="264">
        <f>Inputs!I74</f>
        <v>0</v>
      </c>
    </row>
    <row r="159" spans="1:8" ht="12.75" customHeight="1" x14ac:dyDescent="0.2">
      <c r="A159" s="134" t="str">
        <f>"   "&amp;Labels!C233</f>
        <v xml:space="preserve">   Total</v>
      </c>
      <c r="B159" s="198">
        <f t="shared" ref="B159:G159" si="38">SUM(B157:B158)</f>
        <v>0</v>
      </c>
      <c r="C159" s="198">
        <f t="shared" si="38"/>
        <v>0</v>
      </c>
      <c r="D159" s="198">
        <f t="shared" si="38"/>
        <v>0</v>
      </c>
      <c r="E159" s="198">
        <f t="shared" si="38"/>
        <v>0</v>
      </c>
      <c r="F159" s="198">
        <f t="shared" si="38"/>
        <v>0</v>
      </c>
      <c r="G159" s="265">
        <f t="shared" si="38"/>
        <v>0</v>
      </c>
    </row>
    <row r="160" spans="1:8" ht="12.75" customHeight="1" x14ac:dyDescent="0.2">
      <c r="A160" s="134" t="str">
        <f>Labels!B214</f>
        <v>Marketing</v>
      </c>
      <c r="B160" s="198"/>
      <c r="C160" s="198"/>
      <c r="D160" s="198"/>
      <c r="E160" s="198"/>
      <c r="F160" s="198"/>
      <c r="G160" s="265"/>
    </row>
    <row r="161" spans="1:7" ht="12.75" customHeight="1" x14ac:dyDescent="0.2">
      <c r="A161" s="142" t="str">
        <f>"   "&amp;Labels!B234</f>
        <v xml:space="preserve">   Job Level 1</v>
      </c>
      <c r="B161" s="197">
        <f>Inputs!D75</f>
        <v>0</v>
      </c>
      <c r="C161" s="197">
        <f>Inputs!E75</f>
        <v>0</v>
      </c>
      <c r="D161" s="197">
        <f>Inputs!F75</f>
        <v>0</v>
      </c>
      <c r="E161" s="197">
        <f>Inputs!G75</f>
        <v>0</v>
      </c>
      <c r="F161" s="197">
        <f>Inputs!H75</f>
        <v>0</v>
      </c>
      <c r="G161" s="264">
        <f>Inputs!I75</f>
        <v>0</v>
      </c>
    </row>
    <row r="162" spans="1:7" ht="12.75" customHeight="1" x14ac:dyDescent="0.2">
      <c r="A162" s="142" t="str">
        <f>"   "&amp;Labels!B235</f>
        <v xml:space="preserve">   Job Level 2</v>
      </c>
      <c r="B162" s="197">
        <f>Inputs!D76</f>
        <v>0</v>
      </c>
      <c r="C162" s="197">
        <f>Inputs!E76</f>
        <v>0</v>
      </c>
      <c r="D162" s="197">
        <f>Inputs!F76</f>
        <v>0</v>
      </c>
      <c r="E162" s="197">
        <f>Inputs!G76</f>
        <v>0</v>
      </c>
      <c r="F162" s="197">
        <f>Inputs!H76</f>
        <v>0</v>
      </c>
      <c r="G162" s="264">
        <f>Inputs!I76</f>
        <v>0</v>
      </c>
    </row>
    <row r="163" spans="1:7" ht="12.75" customHeight="1" x14ac:dyDescent="0.2">
      <c r="A163" s="134" t="str">
        <f>"   "&amp;Labels!C233</f>
        <v xml:space="preserve">   Total</v>
      </c>
      <c r="B163" s="198">
        <f t="shared" ref="B163:G163" si="39">SUM(B161:B162)</f>
        <v>0</v>
      </c>
      <c r="C163" s="198">
        <f t="shared" si="39"/>
        <v>0</v>
      </c>
      <c r="D163" s="198">
        <f t="shared" si="39"/>
        <v>0</v>
      </c>
      <c r="E163" s="198">
        <f t="shared" si="39"/>
        <v>0</v>
      </c>
      <c r="F163" s="198">
        <f t="shared" si="39"/>
        <v>0</v>
      </c>
      <c r="G163" s="265">
        <f t="shared" si="39"/>
        <v>0</v>
      </c>
    </row>
    <row r="164" spans="1:7" ht="12.75" customHeight="1" x14ac:dyDescent="0.2">
      <c r="A164" s="91" t="str">
        <f>Labels!C212</f>
        <v>Total</v>
      </c>
      <c r="B164" s="211">
        <f t="shared" ref="B164:G164" si="40">SUM(B159,B163)</f>
        <v>0</v>
      </c>
      <c r="C164" s="211">
        <f t="shared" si="40"/>
        <v>0</v>
      </c>
      <c r="D164" s="211">
        <f t="shared" si="40"/>
        <v>0</v>
      </c>
      <c r="E164" s="211">
        <f t="shared" si="40"/>
        <v>0</v>
      </c>
      <c r="F164" s="211">
        <f t="shared" si="40"/>
        <v>0</v>
      </c>
      <c r="G164" s="262">
        <f t="shared" si="40"/>
        <v>0</v>
      </c>
    </row>
    <row r="165" spans="1:7" ht="12.75" customHeight="1" x14ac:dyDescent="0.2">
      <c r="A165" s="142" t="str">
        <f>"   "&amp;Labels!B234</f>
        <v xml:space="preserve">   Job Level 1</v>
      </c>
      <c r="B165" s="197">
        <f t="shared" ref="B165:G167" si="41">SUM(B157,B161)</f>
        <v>0</v>
      </c>
      <c r="C165" s="197">
        <f t="shared" si="41"/>
        <v>0</v>
      </c>
      <c r="D165" s="197">
        <f t="shared" si="41"/>
        <v>0</v>
      </c>
      <c r="E165" s="197">
        <f t="shared" si="41"/>
        <v>0</v>
      </c>
      <c r="F165" s="197">
        <f t="shared" si="41"/>
        <v>0</v>
      </c>
      <c r="G165" s="264">
        <f t="shared" si="41"/>
        <v>0</v>
      </c>
    </row>
    <row r="166" spans="1:7" ht="12.75" customHeight="1" x14ac:dyDescent="0.2">
      <c r="A166" s="142" t="str">
        <f>"   "&amp;Labels!B235</f>
        <v xml:space="preserve">   Job Level 2</v>
      </c>
      <c r="B166" s="197">
        <f t="shared" si="41"/>
        <v>0</v>
      </c>
      <c r="C166" s="197">
        <f t="shared" si="41"/>
        <v>0</v>
      </c>
      <c r="D166" s="197">
        <f t="shared" si="41"/>
        <v>0</v>
      </c>
      <c r="E166" s="197">
        <f t="shared" si="41"/>
        <v>0</v>
      </c>
      <c r="F166" s="197">
        <f t="shared" si="41"/>
        <v>0</v>
      </c>
      <c r="G166" s="264">
        <f t="shared" si="41"/>
        <v>0</v>
      </c>
    </row>
    <row r="167" spans="1:7" ht="12.75" customHeight="1" x14ac:dyDescent="0.2">
      <c r="A167" s="131" t="str">
        <f>"   "&amp;Labels!C233</f>
        <v xml:space="preserve">   Total</v>
      </c>
      <c r="B167" s="266">
        <f t="shared" si="41"/>
        <v>0</v>
      </c>
      <c r="C167" s="266">
        <f t="shared" si="41"/>
        <v>0</v>
      </c>
      <c r="D167" s="266">
        <f t="shared" si="41"/>
        <v>0</v>
      </c>
      <c r="E167" s="266">
        <f t="shared" si="41"/>
        <v>0</v>
      </c>
      <c r="F167" s="266">
        <f t="shared" si="41"/>
        <v>0</v>
      </c>
      <c r="G167" s="267">
        <f t="shared" si="41"/>
        <v>0</v>
      </c>
    </row>
    <row r="168" spans="1:7" ht="12.75" customHeight="1" x14ac:dyDescent="0.2">
      <c r="A168" s="1" t="str">
        <f>Labels!B135</f>
        <v>Revenue (non-deferred)</v>
      </c>
    </row>
    <row r="169" spans="1:7" ht="12.75" customHeight="1" x14ac:dyDescent="0.2">
      <c r="B169" s="10" t="str">
        <f>'(FnCalls 1)'!F41</f>
        <v>MMM 2011</v>
      </c>
      <c r="C169" s="11" t="str">
        <f>'(FnCalls 1)'!F42</f>
        <v>MMM 2011</v>
      </c>
      <c r="D169" s="11" t="str">
        <f>'(FnCalls 1)'!F43</f>
        <v>MMM 2011</v>
      </c>
      <c r="E169" s="11" t="str">
        <f>'(FnCalls 1)'!F44</f>
        <v>MMM 2011</v>
      </c>
      <c r="F169" s="11" t="str">
        <f>'(FnCalls 1)'!F45</f>
        <v>MMM 2011</v>
      </c>
      <c r="G169" s="12" t="str">
        <f>'(FnCalls 1)'!F46</f>
        <v>MMM 2011</v>
      </c>
    </row>
    <row r="170" spans="1:7" ht="12.75" customHeight="1" x14ac:dyDescent="0.2">
      <c r="A170" s="128" t="str">
        <f>Labels!B259</f>
        <v>Location 1</v>
      </c>
      <c r="B170" s="141">
        <f>Sales!B40+0/2+0</f>
        <v>0</v>
      </c>
      <c r="C170" s="141">
        <f>Sales!C40+0/2+0</f>
        <v>0</v>
      </c>
      <c r="D170" s="141">
        <f>Sales!D40+0/2+0</f>
        <v>0</v>
      </c>
      <c r="E170" s="141">
        <f>Sales!E40+0/2+0</f>
        <v>0</v>
      </c>
      <c r="F170" s="141">
        <f>Sales!F40+0/2+0</f>
        <v>0</v>
      </c>
      <c r="G170" s="225">
        <f>Sales!G40+0/2+0</f>
        <v>0</v>
      </c>
    </row>
    <row r="171" spans="1:7" ht="12.75" customHeight="1" x14ac:dyDescent="0.2">
      <c r="A171" s="134" t="str">
        <f>Labels!B260</f>
        <v>Location 2</v>
      </c>
      <c r="B171" s="145">
        <f>Sales!B41+0/2+0</f>
        <v>0</v>
      </c>
      <c r="C171" s="145">
        <f>Sales!C41+0/2+0</f>
        <v>0</v>
      </c>
      <c r="D171" s="145">
        <f>Sales!D41+0/2+0</f>
        <v>0</v>
      </c>
      <c r="E171" s="145">
        <f>Sales!E41+0/2+0</f>
        <v>0</v>
      </c>
      <c r="F171" s="145">
        <f>Sales!F41+0/2+0</f>
        <v>0</v>
      </c>
      <c r="G171" s="226">
        <f>Sales!G41+0/2+0</f>
        <v>0</v>
      </c>
    </row>
    <row r="172" spans="1:7" ht="12.75" customHeight="1" x14ac:dyDescent="0.2">
      <c r="A172" s="91" t="str">
        <f>Labels!C258</f>
        <v>Total</v>
      </c>
      <c r="B172" s="149">
        <f t="shared" ref="B172:G172" si="42">SUM(B170:B171)</f>
        <v>0</v>
      </c>
      <c r="C172" s="149">
        <f t="shared" si="42"/>
        <v>0</v>
      </c>
      <c r="D172" s="149">
        <f t="shared" si="42"/>
        <v>0</v>
      </c>
      <c r="E172" s="149">
        <f t="shared" si="42"/>
        <v>0</v>
      </c>
      <c r="F172" s="149">
        <f t="shared" si="42"/>
        <v>0</v>
      </c>
      <c r="G172" s="227">
        <f t="shared" si="42"/>
        <v>0</v>
      </c>
    </row>
    <row r="173" spans="1:7" ht="12.75" customHeight="1" x14ac:dyDescent="0.2">
      <c r="A173" s="1" t="str">
        <f>Labels!B171</f>
        <v>Initial Avg Wage/Yr</v>
      </c>
    </row>
    <row r="174" spans="1:7" ht="12.75" customHeight="1" x14ac:dyDescent="0.2">
      <c r="B174" s="10" t="str">
        <f>Labels!B213</f>
        <v>Sales</v>
      </c>
      <c r="C174" s="11" t="str">
        <f>Labels!B214</f>
        <v>Marketing</v>
      </c>
      <c r="D174" s="94" t="str">
        <f>Labels!C212</f>
        <v>Total</v>
      </c>
    </row>
    <row r="175" spans="1:7" ht="12.75" customHeight="1" x14ac:dyDescent="0.2">
      <c r="A175" s="128" t="str">
        <f>Labels!B234</f>
        <v>Job Level 1</v>
      </c>
      <c r="B175" s="188">
        <f>Inputs!D81</f>
        <v>80000</v>
      </c>
      <c r="C175" s="188">
        <f>Inputs!E81</f>
        <v>80000</v>
      </c>
      <c r="D175" s="189">
        <f>AVERAGE(B175:C175)</f>
        <v>80000</v>
      </c>
    </row>
    <row r="176" spans="1:7" ht="12.75" customHeight="1" x14ac:dyDescent="0.2">
      <c r="A176" s="134" t="str">
        <f>Labels!B235</f>
        <v>Job Level 2</v>
      </c>
      <c r="B176" s="191">
        <f>Inputs!D82</f>
        <v>80000</v>
      </c>
      <c r="C176" s="191">
        <f>Inputs!E82</f>
        <v>80000</v>
      </c>
      <c r="D176" s="138">
        <f>AVERAGE(B176:C176)</f>
        <v>80000</v>
      </c>
    </row>
    <row r="177" spans="1:7" ht="12.75" customHeight="1" x14ac:dyDescent="0.2">
      <c r="A177" s="91" t="str">
        <f>Labels!C233</f>
        <v>Total</v>
      </c>
      <c r="B177" s="147">
        <f>AVERAGE(B175:B176)</f>
        <v>80000</v>
      </c>
      <c r="C177" s="147">
        <f>AVERAGE(C175:C176)</f>
        <v>80000</v>
      </c>
      <c r="D177" s="148">
        <f>AVERAGE(B177:C177)</f>
        <v>80000</v>
      </c>
    </row>
    <row r="178" spans="1:7" ht="12.75" customHeight="1" x14ac:dyDescent="0.2">
      <c r="A178" s="1" t="str">
        <f>Labels!B62</f>
        <v>Employee Bonus %</v>
      </c>
    </row>
    <row r="179" spans="1:7" ht="12.75" customHeight="1" x14ac:dyDescent="0.2">
      <c r="B179" s="10" t="str">
        <f>'(FnCalls 1)'!F41</f>
        <v>MMM 2011</v>
      </c>
      <c r="C179" s="11" t="str">
        <f>'(FnCalls 1)'!F42</f>
        <v>MMM 2011</v>
      </c>
      <c r="D179" s="11" t="str">
        <f>'(FnCalls 1)'!F43</f>
        <v>MMM 2011</v>
      </c>
      <c r="E179" s="11" t="str">
        <f>'(FnCalls 1)'!F44</f>
        <v>MMM 2011</v>
      </c>
      <c r="F179" s="11" t="str">
        <f>'(FnCalls 1)'!F45</f>
        <v>MMM 2011</v>
      </c>
      <c r="G179" s="12" t="str">
        <f>'(FnCalls 1)'!F46</f>
        <v>MMM 2011</v>
      </c>
    </row>
    <row r="180" spans="1:7" ht="12.75" customHeight="1" x14ac:dyDescent="0.2">
      <c r="A180" s="128" t="str">
        <f>Labels!B213</f>
        <v>Sales</v>
      </c>
      <c r="B180" s="165"/>
      <c r="C180" s="165"/>
      <c r="D180" s="165"/>
      <c r="E180" s="165"/>
      <c r="F180" s="165"/>
      <c r="G180" s="249"/>
    </row>
    <row r="181" spans="1:7" ht="12.75" customHeight="1" x14ac:dyDescent="0.2">
      <c r="A181" s="142" t="str">
        <f>"   "&amp;Labels!B234</f>
        <v xml:space="preserve">   Job Level 1</v>
      </c>
      <c r="B181" s="166">
        <f>Inputs!D89</f>
        <v>0</v>
      </c>
      <c r="C181" s="166">
        <f>Inputs!E89</f>
        <v>0</v>
      </c>
      <c r="D181" s="166">
        <f>Inputs!F89</f>
        <v>0</v>
      </c>
      <c r="E181" s="166">
        <f>Inputs!G89</f>
        <v>0</v>
      </c>
      <c r="F181" s="166">
        <f>Inputs!H89</f>
        <v>0</v>
      </c>
      <c r="G181" s="250">
        <f>Inputs!I89</f>
        <v>0</v>
      </c>
    </row>
    <row r="182" spans="1:7" ht="12.75" customHeight="1" x14ac:dyDescent="0.2">
      <c r="A182" s="142" t="str">
        <f>"   "&amp;Labels!B235</f>
        <v xml:space="preserve">   Job Level 2</v>
      </c>
      <c r="B182" s="166">
        <f>Inputs!D90</f>
        <v>0</v>
      </c>
      <c r="C182" s="166">
        <f>Inputs!E90</f>
        <v>0</v>
      </c>
      <c r="D182" s="166">
        <f>Inputs!F90</f>
        <v>0</v>
      </c>
      <c r="E182" s="166">
        <f>Inputs!G90</f>
        <v>0</v>
      </c>
      <c r="F182" s="166">
        <f>Inputs!H90</f>
        <v>0</v>
      </c>
      <c r="G182" s="250">
        <f>Inputs!I90</f>
        <v>0</v>
      </c>
    </row>
    <row r="183" spans="1:7" ht="12.75" customHeight="1" x14ac:dyDescent="0.2">
      <c r="A183" s="134" t="str">
        <f>"   "&amp;Labels!C233</f>
        <v xml:space="preserve">   Total</v>
      </c>
      <c r="B183" s="167">
        <f t="shared" ref="B183:G183" si="43">AVERAGE(B181:B182)</f>
        <v>0</v>
      </c>
      <c r="C183" s="167">
        <f t="shared" si="43"/>
        <v>0</v>
      </c>
      <c r="D183" s="167">
        <f t="shared" si="43"/>
        <v>0</v>
      </c>
      <c r="E183" s="167">
        <f t="shared" si="43"/>
        <v>0</v>
      </c>
      <c r="F183" s="167">
        <f t="shared" si="43"/>
        <v>0</v>
      </c>
      <c r="G183" s="251">
        <f t="shared" si="43"/>
        <v>0</v>
      </c>
    </row>
    <row r="184" spans="1:7" ht="12.75" customHeight="1" x14ac:dyDescent="0.2">
      <c r="A184" s="134" t="str">
        <f>Labels!B214</f>
        <v>Marketing</v>
      </c>
      <c r="B184" s="167"/>
      <c r="C184" s="167"/>
      <c r="D184" s="167"/>
      <c r="E184" s="167"/>
      <c r="F184" s="167"/>
      <c r="G184" s="251"/>
    </row>
    <row r="185" spans="1:7" ht="12.75" customHeight="1" x14ac:dyDescent="0.2">
      <c r="A185" s="142" t="str">
        <f>"   "&amp;Labels!B234</f>
        <v xml:space="preserve">   Job Level 1</v>
      </c>
      <c r="B185" s="166">
        <f>Inputs!D91</f>
        <v>0</v>
      </c>
      <c r="C185" s="166">
        <f>Inputs!E91</f>
        <v>0</v>
      </c>
      <c r="D185" s="166">
        <f>Inputs!F91</f>
        <v>0</v>
      </c>
      <c r="E185" s="166">
        <f>Inputs!G91</f>
        <v>0</v>
      </c>
      <c r="F185" s="166">
        <f>Inputs!H91</f>
        <v>0</v>
      </c>
      <c r="G185" s="250">
        <f>Inputs!I91</f>
        <v>0</v>
      </c>
    </row>
    <row r="186" spans="1:7" ht="12.75" customHeight="1" x14ac:dyDescent="0.2">
      <c r="A186" s="142" t="str">
        <f>"   "&amp;Labels!B235</f>
        <v xml:space="preserve">   Job Level 2</v>
      </c>
      <c r="B186" s="166">
        <f>Inputs!D92</f>
        <v>0</v>
      </c>
      <c r="C186" s="166">
        <f>Inputs!E92</f>
        <v>0</v>
      </c>
      <c r="D186" s="166">
        <f>Inputs!F92</f>
        <v>0</v>
      </c>
      <c r="E186" s="166">
        <f>Inputs!G92</f>
        <v>0</v>
      </c>
      <c r="F186" s="166">
        <f>Inputs!H92</f>
        <v>0</v>
      </c>
      <c r="G186" s="250">
        <f>Inputs!I92</f>
        <v>0</v>
      </c>
    </row>
    <row r="187" spans="1:7" ht="12.75" customHeight="1" x14ac:dyDescent="0.2">
      <c r="A187" s="134" t="str">
        <f>"   "&amp;Labels!C233</f>
        <v xml:space="preserve">   Total</v>
      </c>
      <c r="B187" s="167">
        <f t="shared" ref="B187:G187" si="44">AVERAGE(B185:B186)</f>
        <v>0</v>
      </c>
      <c r="C187" s="167">
        <f t="shared" si="44"/>
        <v>0</v>
      </c>
      <c r="D187" s="167">
        <f t="shared" si="44"/>
        <v>0</v>
      </c>
      <c r="E187" s="167">
        <f t="shared" si="44"/>
        <v>0</v>
      </c>
      <c r="F187" s="167">
        <f t="shared" si="44"/>
        <v>0</v>
      </c>
      <c r="G187" s="251">
        <f t="shared" si="44"/>
        <v>0</v>
      </c>
    </row>
    <row r="188" spans="1:7" ht="12.75" customHeight="1" x14ac:dyDescent="0.2">
      <c r="A188" s="91" t="str">
        <f>Labels!C212</f>
        <v>Total</v>
      </c>
      <c r="B188" s="161">
        <f t="shared" ref="B188:G188" si="45">AVERAGE(B183,B187)</f>
        <v>0</v>
      </c>
      <c r="C188" s="161">
        <f t="shared" si="45"/>
        <v>0</v>
      </c>
      <c r="D188" s="161">
        <f t="shared" si="45"/>
        <v>0</v>
      </c>
      <c r="E188" s="161">
        <f t="shared" si="45"/>
        <v>0</v>
      </c>
      <c r="F188" s="161">
        <f t="shared" si="45"/>
        <v>0</v>
      </c>
      <c r="G188" s="252">
        <f t="shared" si="45"/>
        <v>0</v>
      </c>
    </row>
    <row r="189" spans="1:7" ht="12.75" customHeight="1" x14ac:dyDescent="0.2">
      <c r="A189" s="142" t="str">
        <f>"   "&amp;Labels!B234</f>
        <v xml:space="preserve">   Job Level 1</v>
      </c>
      <c r="B189" s="166">
        <f t="shared" ref="B189:G191" si="46">AVERAGE(B181,B185)</f>
        <v>0</v>
      </c>
      <c r="C189" s="166">
        <f t="shared" si="46"/>
        <v>0</v>
      </c>
      <c r="D189" s="166">
        <f t="shared" si="46"/>
        <v>0</v>
      </c>
      <c r="E189" s="166">
        <f t="shared" si="46"/>
        <v>0</v>
      </c>
      <c r="F189" s="166">
        <f t="shared" si="46"/>
        <v>0</v>
      </c>
      <c r="G189" s="250">
        <f t="shared" si="46"/>
        <v>0</v>
      </c>
    </row>
    <row r="190" spans="1:7" ht="12.75" customHeight="1" x14ac:dyDescent="0.2">
      <c r="A190" s="142" t="str">
        <f>"   "&amp;Labels!B235</f>
        <v xml:space="preserve">   Job Level 2</v>
      </c>
      <c r="B190" s="166">
        <f t="shared" si="46"/>
        <v>0</v>
      </c>
      <c r="C190" s="166">
        <f t="shared" si="46"/>
        <v>0</v>
      </c>
      <c r="D190" s="166">
        <f t="shared" si="46"/>
        <v>0</v>
      </c>
      <c r="E190" s="166">
        <f t="shared" si="46"/>
        <v>0</v>
      </c>
      <c r="F190" s="166">
        <f t="shared" si="46"/>
        <v>0</v>
      </c>
      <c r="G190" s="250">
        <f t="shared" si="46"/>
        <v>0</v>
      </c>
    </row>
    <row r="191" spans="1:7" ht="12.75" customHeight="1" x14ac:dyDescent="0.2">
      <c r="A191" s="131" t="str">
        <f>"   "&amp;Labels!C233</f>
        <v xml:space="preserve">   Total</v>
      </c>
      <c r="B191" s="168">
        <f t="shared" si="46"/>
        <v>0</v>
      </c>
      <c r="C191" s="168">
        <f t="shared" si="46"/>
        <v>0</v>
      </c>
      <c r="D191" s="168">
        <f t="shared" si="46"/>
        <v>0</v>
      </c>
      <c r="E191" s="168">
        <f t="shared" si="46"/>
        <v>0</v>
      </c>
      <c r="F191" s="168">
        <f t="shared" si="46"/>
        <v>0</v>
      </c>
      <c r="G191" s="253">
        <f t="shared" si="46"/>
        <v>0</v>
      </c>
    </row>
    <row r="192" spans="1:7" ht="12.75" customHeight="1" x14ac:dyDescent="0.2">
      <c r="A192" s="1" t="str">
        <f>Labels!B115</f>
        <v>Per Employee Exp/Yr</v>
      </c>
    </row>
    <row r="193" spans="1:7" ht="12.75" customHeight="1" x14ac:dyDescent="0.2">
      <c r="B193" s="10" t="str">
        <f>'(FnCalls 1)'!F41</f>
        <v>MMM 2011</v>
      </c>
      <c r="C193" s="11" t="str">
        <f>'(FnCalls 1)'!F42</f>
        <v>MMM 2011</v>
      </c>
      <c r="D193" s="11" t="str">
        <f>'(FnCalls 1)'!F43</f>
        <v>MMM 2011</v>
      </c>
      <c r="E193" s="11" t="str">
        <f>'(FnCalls 1)'!F44</f>
        <v>MMM 2011</v>
      </c>
      <c r="F193" s="11" t="str">
        <f>'(FnCalls 1)'!F45</f>
        <v>MMM 2011</v>
      </c>
      <c r="G193" s="12" t="str">
        <f>'(FnCalls 1)'!F46</f>
        <v>MMM 2011</v>
      </c>
    </row>
    <row r="194" spans="1:7" ht="12.75" customHeight="1" x14ac:dyDescent="0.2">
      <c r="A194" s="128" t="str">
        <f>Labels!B213</f>
        <v>Sales</v>
      </c>
      <c r="B194" s="178"/>
      <c r="C194" s="178"/>
      <c r="D194" s="178"/>
      <c r="E194" s="178"/>
      <c r="F194" s="178"/>
      <c r="G194" s="254"/>
    </row>
    <row r="195" spans="1:7" ht="12.75" customHeight="1" x14ac:dyDescent="0.2">
      <c r="A195" s="142" t="str">
        <f>"   "&amp;Labels!B222</f>
        <v xml:space="preserve">   Supplies</v>
      </c>
      <c r="B195" s="180">
        <f>Inputs!D123</f>
        <v>0</v>
      </c>
      <c r="C195" s="180">
        <f>Inputs!E123</f>
        <v>0</v>
      </c>
      <c r="D195" s="180">
        <f>Inputs!F123</f>
        <v>0</v>
      </c>
      <c r="E195" s="180">
        <f>Inputs!G123</f>
        <v>0</v>
      </c>
      <c r="F195" s="180">
        <f>Inputs!H123</f>
        <v>0</v>
      </c>
      <c r="G195" s="260">
        <f>Inputs!I123</f>
        <v>0</v>
      </c>
    </row>
    <row r="196" spans="1:7" ht="12.75" customHeight="1" x14ac:dyDescent="0.2">
      <c r="A196" s="142" t="str">
        <f>"   "&amp;Labels!B223</f>
        <v xml:space="preserve">   Travel Entertainment</v>
      </c>
      <c r="B196" s="180">
        <f>Inputs!D124</f>
        <v>0</v>
      </c>
      <c r="C196" s="180">
        <f>Inputs!E124</f>
        <v>0</v>
      </c>
      <c r="D196" s="180">
        <f>Inputs!F124</f>
        <v>0</v>
      </c>
      <c r="E196" s="180">
        <f>Inputs!G124</f>
        <v>0</v>
      </c>
      <c r="F196" s="180">
        <f>Inputs!H124</f>
        <v>0</v>
      </c>
      <c r="G196" s="260">
        <f>Inputs!I124</f>
        <v>0</v>
      </c>
    </row>
    <row r="197" spans="1:7" ht="12.75" customHeight="1" x14ac:dyDescent="0.2">
      <c r="A197" s="142" t="str">
        <f>"   "&amp;Labels!B224</f>
        <v xml:space="preserve">   Other</v>
      </c>
      <c r="B197" s="180">
        <f>Inputs!D125</f>
        <v>0</v>
      </c>
      <c r="C197" s="180">
        <f>Inputs!E125</f>
        <v>0</v>
      </c>
      <c r="D197" s="180">
        <f>Inputs!F125</f>
        <v>0</v>
      </c>
      <c r="E197" s="180">
        <f>Inputs!G125</f>
        <v>0</v>
      </c>
      <c r="F197" s="180">
        <f>Inputs!H125</f>
        <v>0</v>
      </c>
      <c r="G197" s="260">
        <f>Inputs!I125</f>
        <v>0</v>
      </c>
    </row>
    <row r="198" spans="1:7" ht="12.75" customHeight="1" x14ac:dyDescent="0.2">
      <c r="A198" s="134" t="str">
        <f>"   "&amp;Labels!C221</f>
        <v xml:space="preserve">   Total</v>
      </c>
      <c r="B198" s="182">
        <f t="shared" ref="B198:G198" si="47">SUM(B195:B197)</f>
        <v>0</v>
      </c>
      <c r="C198" s="182">
        <f t="shared" si="47"/>
        <v>0</v>
      </c>
      <c r="D198" s="182">
        <f t="shared" si="47"/>
        <v>0</v>
      </c>
      <c r="E198" s="182">
        <f t="shared" si="47"/>
        <v>0</v>
      </c>
      <c r="F198" s="182">
        <f t="shared" si="47"/>
        <v>0</v>
      </c>
      <c r="G198" s="255">
        <f t="shared" si="47"/>
        <v>0</v>
      </c>
    </row>
    <row r="199" spans="1:7" ht="12.75" customHeight="1" x14ac:dyDescent="0.2">
      <c r="A199" s="134" t="str">
        <f>Labels!B214</f>
        <v>Marketing</v>
      </c>
      <c r="B199" s="182"/>
      <c r="C199" s="182"/>
      <c r="D199" s="182"/>
      <c r="E199" s="182"/>
      <c r="F199" s="182"/>
      <c r="G199" s="255"/>
    </row>
    <row r="200" spans="1:7" ht="12.75" customHeight="1" x14ac:dyDescent="0.2">
      <c r="A200" s="142" t="str">
        <f>"   "&amp;Labels!B222</f>
        <v xml:space="preserve">   Supplies</v>
      </c>
      <c r="B200" s="180">
        <f>Inputs!D126</f>
        <v>0</v>
      </c>
      <c r="C200" s="180">
        <f>Inputs!E126</f>
        <v>0</v>
      </c>
      <c r="D200" s="180">
        <f>Inputs!F126</f>
        <v>0</v>
      </c>
      <c r="E200" s="180">
        <f>Inputs!G126</f>
        <v>0</v>
      </c>
      <c r="F200" s="180">
        <f>Inputs!H126</f>
        <v>0</v>
      </c>
      <c r="G200" s="260">
        <f>Inputs!I126</f>
        <v>0</v>
      </c>
    </row>
    <row r="201" spans="1:7" ht="12.75" customHeight="1" x14ac:dyDescent="0.2">
      <c r="A201" s="142" t="str">
        <f>"   "&amp;Labels!B223</f>
        <v xml:space="preserve">   Travel Entertainment</v>
      </c>
      <c r="B201" s="180">
        <f>Inputs!D127</f>
        <v>0</v>
      </c>
      <c r="C201" s="180">
        <f>Inputs!E127</f>
        <v>0</v>
      </c>
      <c r="D201" s="180">
        <f>Inputs!F127</f>
        <v>0</v>
      </c>
      <c r="E201" s="180">
        <f>Inputs!G127</f>
        <v>0</v>
      </c>
      <c r="F201" s="180">
        <f>Inputs!H127</f>
        <v>0</v>
      </c>
      <c r="G201" s="260">
        <f>Inputs!I127</f>
        <v>0</v>
      </c>
    </row>
    <row r="202" spans="1:7" ht="12.75" customHeight="1" x14ac:dyDescent="0.2">
      <c r="A202" s="142" t="str">
        <f>"   "&amp;Labels!B224</f>
        <v xml:space="preserve">   Other</v>
      </c>
      <c r="B202" s="180">
        <f>Inputs!D128</f>
        <v>0</v>
      </c>
      <c r="C202" s="180">
        <f>Inputs!E128</f>
        <v>0</v>
      </c>
      <c r="D202" s="180">
        <f>Inputs!F128</f>
        <v>0</v>
      </c>
      <c r="E202" s="180">
        <f>Inputs!G128</f>
        <v>0</v>
      </c>
      <c r="F202" s="180">
        <f>Inputs!H128</f>
        <v>0</v>
      </c>
      <c r="G202" s="260">
        <f>Inputs!I128</f>
        <v>0</v>
      </c>
    </row>
    <row r="203" spans="1:7" ht="12.75" customHeight="1" x14ac:dyDescent="0.2">
      <c r="A203" s="134" t="str">
        <f>"   "&amp;Labels!C221</f>
        <v xml:space="preserve">   Total</v>
      </c>
      <c r="B203" s="182">
        <f t="shared" ref="B203:G203" si="48">SUM(B200:B202)</f>
        <v>0</v>
      </c>
      <c r="C203" s="182">
        <f t="shared" si="48"/>
        <v>0</v>
      </c>
      <c r="D203" s="182">
        <f t="shared" si="48"/>
        <v>0</v>
      </c>
      <c r="E203" s="182">
        <f t="shared" si="48"/>
        <v>0</v>
      </c>
      <c r="F203" s="182">
        <f t="shared" si="48"/>
        <v>0</v>
      </c>
      <c r="G203" s="255">
        <f t="shared" si="48"/>
        <v>0</v>
      </c>
    </row>
    <row r="204" spans="1:7" ht="12.75" customHeight="1" x14ac:dyDescent="0.2">
      <c r="A204" s="91" t="str">
        <f>Labels!C212</f>
        <v>Total</v>
      </c>
      <c r="B204" s="256">
        <f>IF('Indirect Labor'!B11=0,AVERAGE(B198,B203),OpExp!B83*12/'Indirect Labor'!B11)</f>
        <v>0</v>
      </c>
      <c r="C204" s="256">
        <f>IF('Indirect Labor'!C11=0,AVERAGE(C198,C203),OpExp!C83*12/'Indirect Labor'!C11)</f>
        <v>0</v>
      </c>
      <c r="D204" s="256">
        <f>IF('Indirect Labor'!D11=0,AVERAGE(D198,D203),OpExp!D83*12/'Indirect Labor'!D11)</f>
        <v>0</v>
      </c>
      <c r="E204" s="256">
        <f>IF('Indirect Labor'!E11=0,AVERAGE(E198,E203),OpExp!E83*12/'Indirect Labor'!E11)</f>
        <v>0</v>
      </c>
      <c r="F204" s="256">
        <f>IF('Indirect Labor'!F11=0,AVERAGE(F198,F203),OpExp!F83*12/'Indirect Labor'!F11)</f>
        <v>0</v>
      </c>
      <c r="G204" s="257">
        <f>IF('Indirect Labor'!G11=0,AVERAGE(G198,G203),OpExp!G83*12/'Indirect Labor'!G11)</f>
        <v>0</v>
      </c>
    </row>
    <row r="205" spans="1:7" ht="12.75" customHeight="1" x14ac:dyDescent="0.2">
      <c r="A205" s="142" t="str">
        <f>"   "&amp;Labels!B222</f>
        <v xml:space="preserve">   Supplies</v>
      </c>
      <c r="B205" s="180">
        <f>IF('Indirect Labor'!B11=0,AVERAGE(B195,B200),OpExp!B84*12/'Indirect Labor'!B11)</f>
        <v>0</v>
      </c>
      <c r="C205" s="180">
        <f>IF('Indirect Labor'!C11=0,AVERAGE(C195,C200),OpExp!C84*12/'Indirect Labor'!C11)</f>
        <v>0</v>
      </c>
      <c r="D205" s="180">
        <f>IF('Indirect Labor'!D11=0,AVERAGE(D195,D200),OpExp!D84*12/'Indirect Labor'!D11)</f>
        <v>0</v>
      </c>
      <c r="E205" s="180">
        <f>IF('Indirect Labor'!E11=0,AVERAGE(E195,E200),OpExp!E84*12/'Indirect Labor'!E11)</f>
        <v>0</v>
      </c>
      <c r="F205" s="180">
        <f>IF('Indirect Labor'!F11=0,AVERAGE(F195,F200),OpExp!F84*12/'Indirect Labor'!F11)</f>
        <v>0</v>
      </c>
      <c r="G205" s="260">
        <f>IF('Indirect Labor'!G11=0,AVERAGE(G195,G200),OpExp!G84*12/'Indirect Labor'!G11)</f>
        <v>0</v>
      </c>
    </row>
    <row r="206" spans="1:7" ht="12.75" customHeight="1" x14ac:dyDescent="0.2">
      <c r="A206" s="142" t="str">
        <f>"   "&amp;Labels!B223</f>
        <v xml:space="preserve">   Travel Entertainment</v>
      </c>
      <c r="B206" s="180">
        <f>IF('Indirect Labor'!B11=0,AVERAGE(B196,B201),OpExp!B85*12/'Indirect Labor'!B11)</f>
        <v>0</v>
      </c>
      <c r="C206" s="180">
        <f>IF('Indirect Labor'!C11=0,AVERAGE(C196,C201),OpExp!C85*12/'Indirect Labor'!C11)</f>
        <v>0</v>
      </c>
      <c r="D206" s="180">
        <f>IF('Indirect Labor'!D11=0,AVERAGE(D196,D201),OpExp!D85*12/'Indirect Labor'!D11)</f>
        <v>0</v>
      </c>
      <c r="E206" s="180">
        <f>IF('Indirect Labor'!E11=0,AVERAGE(E196,E201),OpExp!E85*12/'Indirect Labor'!E11)</f>
        <v>0</v>
      </c>
      <c r="F206" s="180">
        <f>IF('Indirect Labor'!F11=0,AVERAGE(F196,F201),OpExp!F85*12/'Indirect Labor'!F11)</f>
        <v>0</v>
      </c>
      <c r="G206" s="260">
        <f>IF('Indirect Labor'!G11=0,AVERAGE(G196,G201),OpExp!G85*12/'Indirect Labor'!G11)</f>
        <v>0</v>
      </c>
    </row>
    <row r="207" spans="1:7" ht="12.75" customHeight="1" x14ac:dyDescent="0.2">
      <c r="A207" s="142" t="str">
        <f>"   "&amp;Labels!B224</f>
        <v xml:space="preserve">   Other</v>
      </c>
      <c r="B207" s="180">
        <f>IF('Indirect Labor'!B11=0,AVERAGE(B197,B202),OpExp!B86*12/'Indirect Labor'!B11)</f>
        <v>0</v>
      </c>
      <c r="C207" s="180">
        <f>IF('Indirect Labor'!C11=0,AVERAGE(C197,C202),OpExp!C86*12/'Indirect Labor'!C11)</f>
        <v>0</v>
      </c>
      <c r="D207" s="180">
        <f>IF('Indirect Labor'!D11=0,AVERAGE(D197,D202),OpExp!D86*12/'Indirect Labor'!D11)</f>
        <v>0</v>
      </c>
      <c r="E207" s="180">
        <f>IF('Indirect Labor'!E11=0,AVERAGE(E197,E202),OpExp!E86*12/'Indirect Labor'!E11)</f>
        <v>0</v>
      </c>
      <c r="F207" s="180">
        <f>IF('Indirect Labor'!F11=0,AVERAGE(F197,F202),OpExp!F86*12/'Indirect Labor'!F11)</f>
        <v>0</v>
      </c>
      <c r="G207" s="260">
        <f>IF('Indirect Labor'!G11=0,AVERAGE(G197,G202),OpExp!G86*12/'Indirect Labor'!G11)</f>
        <v>0</v>
      </c>
    </row>
    <row r="208" spans="1:7" ht="12.75" customHeight="1" x14ac:dyDescent="0.2">
      <c r="A208" s="131" t="str">
        <f>"   "&amp;Labels!C221</f>
        <v xml:space="preserve">   Total</v>
      </c>
      <c r="B208" s="194">
        <f>IF('Indirect Labor'!B11=0,AVERAGE(B198,B203),OpExp!B83*12/'Indirect Labor'!B11)</f>
        <v>0</v>
      </c>
      <c r="C208" s="194">
        <f>IF('Indirect Labor'!C11=0,AVERAGE(C198,C203),OpExp!C83*12/'Indirect Labor'!C11)</f>
        <v>0</v>
      </c>
      <c r="D208" s="194">
        <f>IF('Indirect Labor'!D11=0,AVERAGE(D198,D203),OpExp!D83*12/'Indirect Labor'!D11)</f>
        <v>0</v>
      </c>
      <c r="E208" s="194">
        <f>IF('Indirect Labor'!E11=0,AVERAGE(E198,E203),OpExp!E83*12/'Indirect Labor'!E11)</f>
        <v>0</v>
      </c>
      <c r="F208" s="194">
        <f>IF('Indirect Labor'!F11=0,AVERAGE(F198,F203),OpExp!F83*12/'Indirect Labor'!F11)</f>
        <v>0</v>
      </c>
      <c r="G208" s="261">
        <f>IF('Indirect Labor'!G11=0,AVERAGE(G198,G203),OpExp!G83*12/'Indirect Labor'!G11)</f>
        <v>0</v>
      </c>
    </row>
    <row r="209" spans="1:2" ht="12.75" customHeight="1" x14ac:dyDescent="0.2">
      <c r="A209" s="1" t="str">
        <f>Labels!B86</f>
        <v>Initial FG Inventory</v>
      </c>
    </row>
    <row r="210" spans="1:2" ht="12.75" customHeight="1" x14ac:dyDescent="0.2">
      <c r="B210" s="94"/>
    </row>
    <row r="211" spans="1:2" ht="12.75" customHeight="1" x14ac:dyDescent="0.2">
      <c r="A211" s="128" t="str">
        <f>Labels!B255</f>
        <v>Product 1</v>
      </c>
      <c r="B211" s="234">
        <f>Inputs!D165</f>
        <v>0</v>
      </c>
    </row>
    <row r="212" spans="1:2" ht="12.75" customHeight="1" x14ac:dyDescent="0.2">
      <c r="A212" s="134" t="str">
        <f>Labels!B256</f>
        <v>Product 2</v>
      </c>
      <c r="B212" s="237">
        <f>Inputs!D166</f>
        <v>0</v>
      </c>
    </row>
    <row r="213" spans="1:2" ht="12.75" customHeight="1" x14ac:dyDescent="0.2">
      <c r="A213" s="91" t="str">
        <f>Labels!C254</f>
        <v>Total</v>
      </c>
      <c r="B213" s="212">
        <f>SUM(B211:B212)</f>
        <v>0</v>
      </c>
    </row>
    <row r="214" spans="1:2" ht="12.75" customHeight="1" x14ac:dyDescent="0.2">
      <c r="A214" s="1" t="str">
        <f>Labels!B155</f>
        <v>Initial Value</v>
      </c>
    </row>
    <row r="215" spans="1:2" ht="12.75" customHeight="1" x14ac:dyDescent="0.2">
      <c r="B215" s="94"/>
    </row>
    <row r="216" spans="1:2" ht="12.75" customHeight="1" x14ac:dyDescent="0.2">
      <c r="A216" s="128" t="str">
        <f>Labels!B186</f>
        <v>Asset 1</v>
      </c>
      <c r="B216" s="234">
        <f>Inputs!F188</f>
        <v>0</v>
      </c>
    </row>
    <row r="217" spans="1:2" ht="12.75" customHeight="1" x14ac:dyDescent="0.2">
      <c r="A217" s="91" t="str">
        <f>Labels!C185</f>
        <v>Total</v>
      </c>
      <c r="B217" s="212">
        <f>Inputs!F188</f>
        <v>0</v>
      </c>
    </row>
    <row r="218" spans="1:2" ht="12.75" customHeight="1" x14ac:dyDescent="0.2">
      <c r="A218" s="1" t="str">
        <f>Labels!B157</f>
        <v>Depr Life (Yr)</v>
      </c>
    </row>
    <row r="219" spans="1:2" ht="12.75" customHeight="1" x14ac:dyDescent="0.2">
      <c r="B219" s="94"/>
    </row>
    <row r="220" spans="1:2" ht="12.75" customHeight="1" x14ac:dyDescent="0.2">
      <c r="A220" s="128" t="str">
        <f>Labels!B186</f>
        <v>Asset 1</v>
      </c>
      <c r="B220" s="263">
        <f>Inputs!H188</f>
        <v>10</v>
      </c>
    </row>
    <row r="221" spans="1:2" ht="12.75" customHeight="1" x14ac:dyDescent="0.2">
      <c r="A221" s="91" t="str">
        <f>Labels!C185</f>
        <v>Total</v>
      </c>
      <c r="B221" s="262">
        <f>Inputs!H188</f>
        <v>10</v>
      </c>
    </row>
    <row r="222" spans="1:2" ht="12.75" customHeight="1" x14ac:dyDescent="0.2">
      <c r="A222" s="1" t="str">
        <f>Labels!B159</f>
        <v>Physical Life (Yr)</v>
      </c>
    </row>
    <row r="223" spans="1:2" ht="12.75" customHeight="1" x14ac:dyDescent="0.2">
      <c r="B223" s="94"/>
    </row>
    <row r="224" spans="1:2" ht="12.75" customHeight="1" x14ac:dyDescent="0.2">
      <c r="A224" s="128" t="str">
        <f>Labels!B186</f>
        <v>Asset 1</v>
      </c>
      <c r="B224" s="263">
        <f>Inputs!I188</f>
        <v>10</v>
      </c>
    </row>
    <row r="225" spans="1:7" ht="12.75" customHeight="1" x14ac:dyDescent="0.2">
      <c r="A225" s="91" t="str">
        <f>Labels!C185</f>
        <v>Total</v>
      </c>
      <c r="B225" s="262">
        <f>Inputs!I188</f>
        <v>10</v>
      </c>
    </row>
    <row r="226" spans="1:7" ht="12.75" customHeight="1" x14ac:dyDescent="0.2">
      <c r="A226" s="1" t="str">
        <f>Labels!B164</f>
        <v>Salvage Value</v>
      </c>
    </row>
    <row r="227" spans="1:7" ht="12.75" customHeight="1" x14ac:dyDescent="0.2">
      <c r="B227" s="94"/>
    </row>
    <row r="228" spans="1:7" ht="12.75" customHeight="1" x14ac:dyDescent="0.2">
      <c r="A228" s="128" t="str">
        <f>Labels!B186</f>
        <v>Asset 1</v>
      </c>
      <c r="B228" s="234">
        <f>Inputs!J188</f>
        <v>0</v>
      </c>
    </row>
    <row r="229" spans="1:7" ht="12.75" customHeight="1" x14ac:dyDescent="0.2">
      <c r="A229" s="91" t="str">
        <f>Labels!C185</f>
        <v>Total</v>
      </c>
      <c r="B229" s="212">
        <f>Inputs!J188</f>
        <v>0</v>
      </c>
    </row>
    <row r="230" spans="1:7" ht="12.75" customHeight="1" x14ac:dyDescent="0.2">
      <c r="A230" s="1" t="str">
        <f>Labels!B9</f>
        <v>Initial Accts Payable</v>
      </c>
    </row>
    <row r="231" spans="1:7" ht="12.75" customHeight="1" x14ac:dyDescent="0.2">
      <c r="B231" s="94"/>
    </row>
    <row r="232" spans="1:7" ht="12.75" customHeight="1" x14ac:dyDescent="0.2">
      <c r="A232" s="128" t="str">
        <f>Labels!B181</f>
        <v>Vendor Payables</v>
      </c>
      <c r="B232" s="234">
        <f>Inputs!D200</f>
        <v>0</v>
      </c>
    </row>
    <row r="233" spans="1:7" ht="12.75" customHeight="1" x14ac:dyDescent="0.2">
      <c r="A233" s="134" t="str">
        <f>Labels!B182</f>
        <v>Payroll Payables</v>
      </c>
      <c r="B233" s="237">
        <f>Inputs!D201</f>
        <v>0</v>
      </c>
    </row>
    <row r="234" spans="1:7" ht="12.75" customHeight="1" x14ac:dyDescent="0.2">
      <c r="A234" s="134" t="str">
        <f>Labels!B183</f>
        <v>Taxes Payable</v>
      </c>
      <c r="B234" s="237">
        <f>Inputs!D202</f>
        <v>0</v>
      </c>
    </row>
    <row r="235" spans="1:7" ht="12.75" customHeight="1" x14ac:dyDescent="0.2">
      <c r="A235" s="91" t="str">
        <f>Labels!C180</f>
        <v>Total</v>
      </c>
      <c r="B235" s="212">
        <f>SUM(B232:B234)</f>
        <v>0</v>
      </c>
    </row>
    <row r="236" spans="1:7" ht="12.75" customHeight="1" x14ac:dyDescent="0.2">
      <c r="A236" s="1" t="str">
        <f>Labels!B7</f>
        <v>Accts Pay Targ Days</v>
      </c>
    </row>
    <row r="237" spans="1:7" ht="12.75" customHeight="1" x14ac:dyDescent="0.2">
      <c r="B237" s="10" t="str">
        <f>'(FnCalls 1)'!F41</f>
        <v>MMM 2011</v>
      </c>
      <c r="C237" s="11" t="str">
        <f>'(FnCalls 1)'!F42</f>
        <v>MMM 2011</v>
      </c>
      <c r="D237" s="11" t="str">
        <f>'(FnCalls 1)'!F43</f>
        <v>MMM 2011</v>
      </c>
      <c r="E237" s="11" t="str">
        <f>'(FnCalls 1)'!F44</f>
        <v>MMM 2011</v>
      </c>
      <c r="F237" s="11" t="str">
        <f>'(FnCalls 1)'!F45</f>
        <v>MMM 2011</v>
      </c>
      <c r="G237" s="12" t="str">
        <f>'(FnCalls 1)'!F46</f>
        <v>MMM 2011</v>
      </c>
    </row>
    <row r="238" spans="1:7" ht="12.75" customHeight="1" x14ac:dyDescent="0.2">
      <c r="A238" s="128" t="str">
        <f>Labels!B181</f>
        <v>Vendor Payables</v>
      </c>
      <c r="B238" s="268">
        <f>Inputs!E205</f>
        <v>30</v>
      </c>
      <c r="C238" s="268">
        <f>Inputs!F205</f>
        <v>30</v>
      </c>
      <c r="D238" s="268">
        <f>Inputs!G205</f>
        <v>30</v>
      </c>
      <c r="E238" s="268">
        <f>Inputs!H205</f>
        <v>30</v>
      </c>
      <c r="F238" s="268">
        <f>Inputs!I205</f>
        <v>30</v>
      </c>
      <c r="G238" s="269">
        <f>Inputs!J205</f>
        <v>30</v>
      </c>
    </row>
    <row r="239" spans="1:7" ht="12.75" customHeight="1" x14ac:dyDescent="0.2">
      <c r="A239" s="134" t="str">
        <f>Labels!B182</f>
        <v>Payroll Payables</v>
      </c>
      <c r="B239" s="213">
        <f>Inputs!E206</f>
        <v>30</v>
      </c>
      <c r="C239" s="213">
        <f>Inputs!F206</f>
        <v>30</v>
      </c>
      <c r="D239" s="213">
        <f>Inputs!G206</f>
        <v>30</v>
      </c>
      <c r="E239" s="213">
        <f>Inputs!H206</f>
        <v>30</v>
      </c>
      <c r="F239" s="213">
        <f>Inputs!I206</f>
        <v>30</v>
      </c>
      <c r="G239" s="270">
        <f>Inputs!J206</f>
        <v>30</v>
      </c>
    </row>
    <row r="240" spans="1:7" ht="12.75" customHeight="1" x14ac:dyDescent="0.2">
      <c r="A240" s="134" t="str">
        <f>Labels!B183</f>
        <v>Taxes Payable</v>
      </c>
      <c r="B240" s="213">
        <f>Inputs!E207</f>
        <v>30</v>
      </c>
      <c r="C240" s="213">
        <f>Inputs!F207</f>
        <v>30</v>
      </c>
      <c r="D240" s="213">
        <f>Inputs!G207</f>
        <v>30</v>
      </c>
      <c r="E240" s="213">
        <f>Inputs!H207</f>
        <v>30</v>
      </c>
      <c r="F240" s="213">
        <f>Inputs!I207</f>
        <v>30</v>
      </c>
      <c r="G240" s="270">
        <f>Inputs!J207</f>
        <v>30</v>
      </c>
    </row>
    <row r="241" spans="1:8" ht="12.75" customHeight="1" x14ac:dyDescent="0.2">
      <c r="A241" s="91" t="str">
        <f>Labels!C180</f>
        <v>Total</v>
      </c>
      <c r="B241" s="271">
        <f t="shared" ref="B241:G241" si="49">AVERAGE(B238:B240)</f>
        <v>30</v>
      </c>
      <c r="C241" s="271">
        <f t="shared" si="49"/>
        <v>30</v>
      </c>
      <c r="D241" s="271">
        <f t="shared" si="49"/>
        <v>30</v>
      </c>
      <c r="E241" s="271">
        <f t="shared" si="49"/>
        <v>30</v>
      </c>
      <c r="F241" s="271">
        <f t="shared" si="49"/>
        <v>30</v>
      </c>
      <c r="G241" s="272">
        <f t="shared" si="49"/>
        <v>30</v>
      </c>
    </row>
    <row r="242" spans="1:8" ht="12.75" customHeight="1" x14ac:dyDescent="0.2">
      <c r="A242" s="1" t="str">
        <f>Labels!B25</f>
        <v>Cash No Short Debt</v>
      </c>
    </row>
    <row r="243" spans="1:8" ht="12.75" customHeight="1" x14ac:dyDescent="0.2">
      <c r="B243" s="10" t="str">
        <f>'(FnCalls 1)'!F40</f>
        <v>MMM 2010</v>
      </c>
      <c r="C243" s="11" t="str">
        <f>'(FnCalls 1)'!F41</f>
        <v>MMM 2011</v>
      </c>
      <c r="D243" s="11" t="str">
        <f>'(FnCalls 1)'!F42</f>
        <v>MMM 2011</v>
      </c>
      <c r="E243" s="11" t="str">
        <f>'(FnCalls 1)'!F43</f>
        <v>MMM 2011</v>
      </c>
      <c r="F243" s="11" t="str">
        <f>'(FnCalls 1)'!F44</f>
        <v>MMM 2011</v>
      </c>
      <c r="G243" s="11" t="str">
        <f>'(FnCalls 1)'!F45</f>
        <v>MMM 2011</v>
      </c>
      <c r="H243" s="12" t="str">
        <f>'(FnCalls 1)'!F46</f>
        <v>MMM 2011</v>
      </c>
    </row>
    <row r="244" spans="1:8" ht="12.75" customHeight="1" x14ac:dyDescent="0.2">
      <c r="A244" s="91"/>
      <c r="B244" s="149">
        <f>Inputs!D154-Inputs!D211</f>
        <v>0</v>
      </c>
      <c r="C244" s="149">
        <f>B247+Sales!B8+0+0+B300+AL290+B333+0+Inputs!E227-Inputs!D211-IncStmt!B9-IncStmt!B13-IncStmt!B14-IncStmt!B18-IncStmt!B20-'(Compute)'!C163-B336-B339-C326-0-Inputs!E229</f>
        <v>0</v>
      </c>
      <c r="D244" s="149">
        <f>C247+Sales!C8+0+0+C300+AM290+C333+0+Inputs!F227-Inputs!E211-IncStmt!C9-IncStmt!C13-IncStmt!C14-IncStmt!C18-IncStmt!C20-'(Compute)'!D163-C336-C339-D326-0-Inputs!F229</f>
        <v>0</v>
      </c>
      <c r="E244" s="149">
        <f>D247+Sales!D8+0+0+D300+AN290+D333+0+Inputs!G227-Inputs!F211-IncStmt!D9-IncStmt!D13-IncStmt!D14-IncStmt!D18-IncStmt!D20-'(Compute)'!E163-D336-D339-E326-0-Inputs!G229</f>
        <v>0</v>
      </c>
      <c r="F244" s="149">
        <f>E247+Sales!E8+0+0+E300+AO290+E333+0+Inputs!H227-Inputs!G211-IncStmt!E9-IncStmt!E13-IncStmt!E14-IncStmt!E18-IncStmt!E20-'(Compute)'!F163-E336-E339-F326-0-Inputs!H229</f>
        <v>0</v>
      </c>
      <c r="G244" s="149">
        <f>F247+Sales!F8+0+0+F300+AP290+F333+0+Inputs!I227-Inputs!H211-IncStmt!F9-IncStmt!F13-IncStmt!F14-IncStmt!F18-IncStmt!F20-'(Compute)'!G163-F336-F339-G326-0-Inputs!I229</f>
        <v>0</v>
      </c>
      <c r="H244" s="227">
        <f>G247+Sales!G8+0+0+G300+AQ290+G333+0+Inputs!J227-Inputs!I211-IncStmt!G9-IncStmt!G13-IncStmt!G14-IncStmt!G18-IncStmt!G20-'(Compute)'!H163-G336-G339-H326-0-Inputs!J229</f>
        <v>0</v>
      </c>
    </row>
    <row r="245" spans="1:8" ht="12.75" customHeight="1" x14ac:dyDescent="0.2">
      <c r="A245" s="1" t="str">
        <f>Labels!B18</f>
        <v>Ending Cash</v>
      </c>
    </row>
    <row r="246" spans="1:8" ht="12.75" customHeight="1" x14ac:dyDescent="0.2">
      <c r="B246" s="10" t="str">
        <f>'(FnCalls 1)'!F40</f>
        <v>MMM 2010</v>
      </c>
      <c r="C246" s="11" t="str">
        <f>'(FnCalls 1)'!F41</f>
        <v>MMM 2011</v>
      </c>
      <c r="D246" s="11" t="str">
        <f>'(FnCalls 1)'!F42</f>
        <v>MMM 2011</v>
      </c>
      <c r="E246" s="11" t="str">
        <f>'(FnCalls 1)'!F43</f>
        <v>MMM 2011</v>
      </c>
      <c r="F246" s="11" t="str">
        <f>'(FnCalls 1)'!F44</f>
        <v>MMM 2011</v>
      </c>
      <c r="G246" s="11" t="str">
        <f>'(FnCalls 1)'!F45</f>
        <v>MMM 2011</v>
      </c>
      <c r="H246" s="12" t="str">
        <f>'(FnCalls 1)'!F46</f>
        <v>MMM 2011</v>
      </c>
    </row>
    <row r="247" spans="1:8" ht="12.75" customHeight="1" x14ac:dyDescent="0.2">
      <c r="A247" s="91"/>
      <c r="B247" s="149">
        <f>B244+Inputs!D211</f>
        <v>0</v>
      </c>
      <c r="C247" s="149">
        <f>CFStmt!B27</f>
        <v>0</v>
      </c>
      <c r="D247" s="149">
        <f>CFStmt!C27</f>
        <v>0</v>
      </c>
      <c r="E247" s="149">
        <f>CFStmt!D27</f>
        <v>0</v>
      </c>
      <c r="F247" s="149">
        <f>CFStmt!E27</f>
        <v>0</v>
      </c>
      <c r="G247" s="149">
        <f>CFStmt!F27</f>
        <v>0</v>
      </c>
      <c r="H247" s="227">
        <f>CFStmt!G27</f>
        <v>0</v>
      </c>
    </row>
    <row r="248" spans="1:8" ht="12.75" customHeight="1" x14ac:dyDescent="0.2">
      <c r="A248" s="1" t="str">
        <f>Labels!B176</f>
        <v>Wage increase period %</v>
      </c>
    </row>
    <row r="249" spans="1:8" ht="12.75" customHeight="1" x14ac:dyDescent="0.2">
      <c r="B249" s="10" t="str">
        <f>'(FnCalls 1)'!F41</f>
        <v>MMM 2011</v>
      </c>
      <c r="C249" s="11" t="str">
        <f>'(FnCalls 1)'!F42</f>
        <v>MMM 2011</v>
      </c>
      <c r="D249" s="11" t="str">
        <f>'(FnCalls 1)'!F43</f>
        <v>MMM 2011</v>
      </c>
      <c r="E249" s="11" t="str">
        <f>'(FnCalls 1)'!F44</f>
        <v>MMM 2011</v>
      </c>
      <c r="F249" s="11" t="str">
        <f>'(FnCalls 1)'!F45</f>
        <v>MMM 2011</v>
      </c>
      <c r="G249" s="12" t="str">
        <f>'(FnCalls 1)'!F46</f>
        <v>MMM 2011</v>
      </c>
    </row>
    <row r="250" spans="1:8" ht="12.75" customHeight="1" x14ac:dyDescent="0.2">
      <c r="A250" s="91"/>
      <c r="B250" s="161">
        <f>IF(Inputs!D86,(1+Inputs!D85)^(1/12)-1,Inputs!D85)</f>
        <v>0</v>
      </c>
      <c r="C250" s="161">
        <f>IF(Inputs!D86,(1+Inputs!E85)^(1/12)-1,Inputs!E85)</f>
        <v>0</v>
      </c>
      <c r="D250" s="161">
        <f>IF(Inputs!D86,(1+Inputs!F85)^(1/12)-1,Inputs!F85)</f>
        <v>0</v>
      </c>
      <c r="E250" s="161">
        <f>IF(Inputs!D86,(1+Inputs!G85)^(1/12)-1,Inputs!G85)</f>
        <v>0</v>
      </c>
      <c r="F250" s="161">
        <f>IF(Inputs!D86,(1+Inputs!H85)^(1/12)-1,Inputs!H85)</f>
        <v>0</v>
      </c>
      <c r="G250" s="252">
        <f>IF(Inputs!D86,(1+Inputs!I85)^(1/12)-1,Inputs!I85)</f>
        <v>0</v>
      </c>
    </row>
    <row r="251" spans="1:8" ht="12.75" customHeight="1" x14ac:dyDescent="0.2">
      <c r="A251" s="1" t="str">
        <f>Labels!B142</f>
        <v>Sales Commission</v>
      </c>
    </row>
    <row r="252" spans="1:8" ht="12.75" customHeight="1" x14ac:dyDescent="0.2">
      <c r="B252" s="10" t="str">
        <f>'(FnCalls 1)'!F41</f>
        <v>MMM 2011</v>
      </c>
      <c r="C252" s="11" t="str">
        <f>'(FnCalls 1)'!F42</f>
        <v>MMM 2011</v>
      </c>
      <c r="D252" s="11" t="str">
        <f>'(FnCalls 1)'!F43</f>
        <v>MMM 2011</v>
      </c>
      <c r="E252" s="11" t="str">
        <f>'(FnCalls 1)'!F44</f>
        <v>MMM 2011</v>
      </c>
      <c r="F252" s="11" t="str">
        <f>'(FnCalls 1)'!F45</f>
        <v>MMM 2011</v>
      </c>
      <c r="G252" s="12" t="str">
        <f>'(FnCalls 1)'!F46</f>
        <v>MMM 2011</v>
      </c>
    </row>
    <row r="253" spans="1:8" ht="12.75" customHeight="1" x14ac:dyDescent="0.2">
      <c r="A253" s="91"/>
      <c r="B253" s="244">
        <f>'(Compute)'!B121</f>
        <v>0</v>
      </c>
      <c r="C253" s="244">
        <f>'(Compute)'!C121</f>
        <v>0</v>
      </c>
      <c r="D253" s="244">
        <f>'(Compute)'!D121</f>
        <v>0</v>
      </c>
      <c r="E253" s="244">
        <f>'(Compute)'!E121</f>
        <v>0</v>
      </c>
      <c r="F253" s="244">
        <f>'(Compute)'!F121</f>
        <v>0</v>
      </c>
      <c r="G253" s="245">
        <f>'(Compute)'!G121</f>
        <v>0</v>
      </c>
    </row>
    <row r="254" spans="1:8" ht="12.75" customHeight="1" x14ac:dyDescent="0.2">
      <c r="A254" s="1" t="str">
        <f>Labels!B12</f>
        <v>Accounts Receivable</v>
      </c>
    </row>
    <row r="255" spans="1:8" ht="12.75" customHeight="1" x14ac:dyDescent="0.2">
      <c r="B255" s="10" t="str">
        <f>'(FnCalls 1)'!F40</f>
        <v>MMM 2010</v>
      </c>
      <c r="C255" s="11" t="str">
        <f>'(FnCalls 1)'!F41</f>
        <v>MMM 2011</v>
      </c>
      <c r="D255" s="11" t="str">
        <f>'(FnCalls 1)'!F42</f>
        <v>MMM 2011</v>
      </c>
      <c r="E255" s="11" t="str">
        <f>'(FnCalls 1)'!F43</f>
        <v>MMM 2011</v>
      </c>
      <c r="F255" s="11" t="str">
        <f>'(FnCalls 1)'!F44</f>
        <v>MMM 2011</v>
      </c>
      <c r="G255" s="11" t="str">
        <f>'(FnCalls 1)'!F45</f>
        <v>MMM 2011</v>
      </c>
      <c r="H255" s="12" t="str">
        <f>'(FnCalls 1)'!F46</f>
        <v>MMM 2011</v>
      </c>
    </row>
    <row r="256" spans="1:8" ht="12.75" customHeight="1" x14ac:dyDescent="0.2">
      <c r="A256" s="91"/>
      <c r="B256" s="149">
        <f>Inputs!D177+0+0</f>
        <v>0</v>
      </c>
      <c r="C256" s="149">
        <f>Assets!C12</f>
        <v>0</v>
      </c>
      <c r="D256" s="149">
        <f>Assets!D12</f>
        <v>0</v>
      </c>
      <c r="E256" s="149">
        <f>Assets!E12</f>
        <v>0</v>
      </c>
      <c r="F256" s="149">
        <f>Assets!F12</f>
        <v>0</v>
      </c>
      <c r="G256" s="149">
        <f>Assets!G12</f>
        <v>0</v>
      </c>
      <c r="H256" s="227">
        <f>Assets!H12</f>
        <v>0</v>
      </c>
    </row>
    <row r="257" spans="1:43" ht="12.75" customHeight="1" x14ac:dyDescent="0.2">
      <c r="A257" s="1" t="str">
        <f>Labels!B76</f>
        <v>Gross Margin - Products</v>
      </c>
    </row>
    <row r="258" spans="1:43" ht="12.75" customHeight="1" x14ac:dyDescent="0.2">
      <c r="B258" s="10" t="str">
        <f>'(FnCalls 1)'!F41</f>
        <v>MMM 2011</v>
      </c>
      <c r="C258" s="11" t="str">
        <f>'(FnCalls 1)'!F42</f>
        <v>MMM 2011</v>
      </c>
      <c r="D258" s="11" t="str">
        <f>'(FnCalls 1)'!F43</f>
        <v>MMM 2011</v>
      </c>
      <c r="E258" s="11" t="str">
        <f>'(FnCalls 1)'!F44</f>
        <v>MMM 2011</v>
      </c>
      <c r="F258" s="11" t="str">
        <f>'(FnCalls 1)'!F45</f>
        <v>MMM 2011</v>
      </c>
      <c r="G258" s="12" t="str">
        <f>'(FnCalls 1)'!F46</f>
        <v>MMM 2011</v>
      </c>
    </row>
    <row r="259" spans="1:43" ht="12.75" customHeight="1" x14ac:dyDescent="0.2">
      <c r="A259" s="128" t="str">
        <f>Labels!B255</f>
        <v>Product 1</v>
      </c>
      <c r="B259" s="141"/>
      <c r="C259" s="141"/>
      <c r="D259" s="141"/>
      <c r="E259" s="141"/>
      <c r="F259" s="141"/>
      <c r="G259" s="225"/>
    </row>
    <row r="260" spans="1:43" ht="12.75" customHeight="1" x14ac:dyDescent="0.2">
      <c r="A260" s="142" t="str">
        <f>"   "&amp;Labels!B259</f>
        <v xml:space="preserve">   Location 1</v>
      </c>
      <c r="B260" s="143">
        <f>Sales!B32-B76</f>
        <v>0</v>
      </c>
      <c r="C260" s="143">
        <f>Sales!C32-C76</f>
        <v>0</v>
      </c>
      <c r="D260" s="143">
        <f>Sales!D32-D76</f>
        <v>0</v>
      </c>
      <c r="E260" s="143">
        <f>Sales!E32-E76</f>
        <v>0</v>
      </c>
      <c r="F260" s="143">
        <f>Sales!F32-F76</f>
        <v>0</v>
      </c>
      <c r="G260" s="246">
        <f>Sales!G32-G76</f>
        <v>0</v>
      </c>
    </row>
    <row r="261" spans="1:43" ht="12.75" customHeight="1" x14ac:dyDescent="0.2">
      <c r="A261" s="142" t="str">
        <f>"   "&amp;Labels!B260</f>
        <v xml:space="preserve">   Location 2</v>
      </c>
      <c r="B261" s="143">
        <f>Sales!B33-B81</f>
        <v>0</v>
      </c>
      <c r="C261" s="143">
        <f>Sales!C33-C81</f>
        <v>0</v>
      </c>
      <c r="D261" s="143">
        <f>Sales!D33-D81</f>
        <v>0</v>
      </c>
      <c r="E261" s="143">
        <f>Sales!E33-E81</f>
        <v>0</v>
      </c>
      <c r="F261" s="143">
        <f>Sales!F33-F81</f>
        <v>0</v>
      </c>
      <c r="G261" s="246">
        <f>Sales!G33-G81</f>
        <v>0</v>
      </c>
    </row>
    <row r="262" spans="1:43" ht="12.75" customHeight="1" x14ac:dyDescent="0.2">
      <c r="A262" s="134" t="str">
        <f>"   "&amp;Labels!C258</f>
        <v xml:space="preserve">   Total</v>
      </c>
      <c r="B262" s="145">
        <f t="shared" ref="B262:G262" si="50">SUM(B260:B261)</f>
        <v>0</v>
      </c>
      <c r="C262" s="145">
        <f t="shared" si="50"/>
        <v>0</v>
      </c>
      <c r="D262" s="145">
        <f t="shared" si="50"/>
        <v>0</v>
      </c>
      <c r="E262" s="145">
        <f t="shared" si="50"/>
        <v>0</v>
      </c>
      <c r="F262" s="145">
        <f t="shared" si="50"/>
        <v>0</v>
      </c>
      <c r="G262" s="226">
        <f t="shared" si="50"/>
        <v>0</v>
      </c>
    </row>
    <row r="263" spans="1:43" ht="12.75" customHeight="1" x14ac:dyDescent="0.2">
      <c r="A263" s="134" t="str">
        <f>Labels!B256</f>
        <v>Product 2</v>
      </c>
      <c r="B263" s="145"/>
      <c r="C263" s="145"/>
      <c r="D263" s="145"/>
      <c r="E263" s="145"/>
      <c r="F263" s="145"/>
      <c r="G263" s="226"/>
    </row>
    <row r="264" spans="1:43" ht="12.75" customHeight="1" x14ac:dyDescent="0.2">
      <c r="A264" s="142" t="str">
        <f>"   "&amp;Labels!B259</f>
        <v xml:space="preserve">   Location 1</v>
      </c>
      <c r="B264" s="143">
        <f>Sales!B36-B92</f>
        <v>0</v>
      </c>
      <c r="C264" s="143">
        <f>Sales!C36-C92</f>
        <v>0</v>
      </c>
      <c r="D264" s="143">
        <f>Sales!D36-D92</f>
        <v>0</v>
      </c>
      <c r="E264" s="143">
        <f>Sales!E36-E92</f>
        <v>0</v>
      </c>
      <c r="F264" s="143">
        <f>Sales!F36-F92</f>
        <v>0</v>
      </c>
      <c r="G264" s="246">
        <f>Sales!G36-G92</f>
        <v>0</v>
      </c>
    </row>
    <row r="265" spans="1:43" ht="12.75" customHeight="1" x14ac:dyDescent="0.2">
      <c r="A265" s="142" t="str">
        <f>"   "&amp;Labels!B260</f>
        <v xml:space="preserve">   Location 2</v>
      </c>
      <c r="B265" s="143">
        <f>Sales!B37-B97</f>
        <v>0</v>
      </c>
      <c r="C265" s="143">
        <f>Sales!C37-C97</f>
        <v>0</v>
      </c>
      <c r="D265" s="143">
        <f>Sales!D37-D97</f>
        <v>0</v>
      </c>
      <c r="E265" s="143">
        <f>Sales!E37-E97</f>
        <v>0</v>
      </c>
      <c r="F265" s="143">
        <f>Sales!F37-F97</f>
        <v>0</v>
      </c>
      <c r="G265" s="246">
        <f>Sales!G37-G97</f>
        <v>0</v>
      </c>
    </row>
    <row r="266" spans="1:43" ht="12.75" customHeight="1" x14ac:dyDescent="0.2">
      <c r="A266" s="134" t="str">
        <f>"   "&amp;Labels!C258</f>
        <v xml:space="preserve">   Total</v>
      </c>
      <c r="B266" s="145">
        <f t="shared" ref="B266:G266" si="51">SUM(B264:B265)</f>
        <v>0</v>
      </c>
      <c r="C266" s="145">
        <f t="shared" si="51"/>
        <v>0</v>
      </c>
      <c r="D266" s="145">
        <f t="shared" si="51"/>
        <v>0</v>
      </c>
      <c r="E266" s="145">
        <f t="shared" si="51"/>
        <v>0</v>
      </c>
      <c r="F266" s="145">
        <f t="shared" si="51"/>
        <v>0</v>
      </c>
      <c r="G266" s="226">
        <f t="shared" si="51"/>
        <v>0</v>
      </c>
    </row>
    <row r="267" spans="1:43" ht="12.75" customHeight="1" x14ac:dyDescent="0.2">
      <c r="A267" s="91" t="str">
        <f>Labels!C254</f>
        <v>Total</v>
      </c>
      <c r="B267" s="149">
        <f t="shared" ref="B267:G267" si="52">SUM(B262,B266)</f>
        <v>0</v>
      </c>
      <c r="C267" s="149">
        <f t="shared" si="52"/>
        <v>0</v>
      </c>
      <c r="D267" s="149">
        <f t="shared" si="52"/>
        <v>0</v>
      </c>
      <c r="E267" s="149">
        <f t="shared" si="52"/>
        <v>0</v>
      </c>
      <c r="F267" s="149">
        <f t="shared" si="52"/>
        <v>0</v>
      </c>
      <c r="G267" s="227">
        <f t="shared" si="52"/>
        <v>0</v>
      </c>
    </row>
    <row r="268" spans="1:43" ht="12.75" customHeight="1" x14ac:dyDescent="0.2">
      <c r="A268" s="142" t="str">
        <f>"   "&amp;Labels!B259</f>
        <v xml:space="preserve">   Location 1</v>
      </c>
      <c r="B268" s="143">
        <f t="shared" ref="B268:G270" si="53">SUM(B260,B264)</f>
        <v>0</v>
      </c>
      <c r="C268" s="143">
        <f t="shared" si="53"/>
        <v>0</v>
      </c>
      <c r="D268" s="143">
        <f t="shared" si="53"/>
        <v>0</v>
      </c>
      <c r="E268" s="143">
        <f t="shared" si="53"/>
        <v>0</v>
      </c>
      <c r="F268" s="143">
        <f t="shared" si="53"/>
        <v>0</v>
      </c>
      <c r="G268" s="246">
        <f t="shared" si="53"/>
        <v>0</v>
      </c>
    </row>
    <row r="269" spans="1:43" ht="12.75" customHeight="1" x14ac:dyDescent="0.2">
      <c r="A269" s="142" t="str">
        <f>"   "&amp;Labels!B260</f>
        <v xml:space="preserve">   Location 2</v>
      </c>
      <c r="B269" s="143">
        <f t="shared" si="53"/>
        <v>0</v>
      </c>
      <c r="C269" s="143">
        <f t="shared" si="53"/>
        <v>0</v>
      </c>
      <c r="D269" s="143">
        <f t="shared" si="53"/>
        <v>0</v>
      </c>
      <c r="E269" s="143">
        <f t="shared" si="53"/>
        <v>0</v>
      </c>
      <c r="F269" s="143">
        <f t="shared" si="53"/>
        <v>0</v>
      </c>
      <c r="G269" s="246">
        <f t="shared" si="53"/>
        <v>0</v>
      </c>
    </row>
    <row r="270" spans="1:43" ht="12.75" customHeight="1" x14ac:dyDescent="0.2">
      <c r="A270" s="131" t="str">
        <f>"   "&amp;Labels!C258</f>
        <v xml:space="preserve">   Total</v>
      </c>
      <c r="B270" s="127">
        <f t="shared" si="53"/>
        <v>0</v>
      </c>
      <c r="C270" s="127">
        <f t="shared" si="53"/>
        <v>0</v>
      </c>
      <c r="D270" s="127">
        <f t="shared" si="53"/>
        <v>0</v>
      </c>
      <c r="E270" s="127">
        <f t="shared" si="53"/>
        <v>0</v>
      </c>
      <c r="F270" s="127">
        <f t="shared" si="53"/>
        <v>0</v>
      </c>
      <c r="G270" s="247">
        <f t="shared" si="53"/>
        <v>0</v>
      </c>
    </row>
    <row r="271" spans="1:43" ht="12.75" customHeight="1" x14ac:dyDescent="0.2">
      <c r="A271" s="1" t="str">
        <f>Labels!B152</f>
        <v>Depreciation</v>
      </c>
    </row>
    <row r="272" spans="1:43" ht="12.75" customHeight="1" x14ac:dyDescent="0.2">
      <c r="B272" s="10" t="str">
        <f>'(FnCalls 1)'!F5</f>
        <v>MMM 2008</v>
      </c>
      <c r="C272" s="11" t="str">
        <f>'(FnCalls 1)'!F6</f>
        <v>MMM 2008</v>
      </c>
      <c r="D272" s="11" t="str">
        <f>'(FnCalls 1)'!F7</f>
        <v>MMM 2008</v>
      </c>
      <c r="E272" s="11" t="str">
        <f>'(FnCalls 1)'!F8</f>
        <v>MMM 2008</v>
      </c>
      <c r="F272" s="11" t="str">
        <f>'(FnCalls 1)'!F9</f>
        <v>MMM 2008</v>
      </c>
      <c r="G272" s="11" t="str">
        <f>'(FnCalls 1)'!F10</f>
        <v>MMM 2008</v>
      </c>
      <c r="H272" s="11" t="str">
        <f>'(FnCalls 1)'!F11</f>
        <v>MMM 2008</v>
      </c>
      <c r="I272" s="11" t="str">
        <f>'(FnCalls 1)'!F12</f>
        <v>MMM 2008</v>
      </c>
      <c r="J272" s="11" t="str">
        <f>'(FnCalls 1)'!F13</f>
        <v>MMM 2008</v>
      </c>
      <c r="K272" s="11" t="str">
        <f>'(FnCalls 1)'!F14</f>
        <v>MMM 2008</v>
      </c>
      <c r="L272" s="11" t="str">
        <f>'(FnCalls 1)'!F15</f>
        <v>MMM 2008</v>
      </c>
      <c r="M272" s="11" t="str">
        <f>'(FnCalls 1)'!F16</f>
        <v>MMM 2008</v>
      </c>
      <c r="N272" s="11" t="str">
        <f>'(FnCalls 1)'!F17</f>
        <v>MMM 2009</v>
      </c>
      <c r="O272" s="11" t="str">
        <f>'(FnCalls 1)'!F18</f>
        <v>MMM 2009</v>
      </c>
      <c r="P272" s="11" t="str">
        <f>'(FnCalls 1)'!F19</f>
        <v>MMM 2009</v>
      </c>
      <c r="Q272" s="11" t="str">
        <f>'(FnCalls 1)'!F20</f>
        <v>MMM 2009</v>
      </c>
      <c r="R272" s="11" t="str">
        <f>'(FnCalls 1)'!F21</f>
        <v>MMM 2009</v>
      </c>
      <c r="S272" s="11" t="str">
        <f>'(FnCalls 1)'!F22</f>
        <v>MMM 2009</v>
      </c>
      <c r="T272" s="11" t="str">
        <f>'(FnCalls 1)'!F23</f>
        <v>MMM 2009</v>
      </c>
      <c r="U272" s="11" t="str">
        <f>'(FnCalls 1)'!F24</f>
        <v>MMM 2009</v>
      </c>
      <c r="V272" s="11" t="str">
        <f>'(FnCalls 1)'!F25</f>
        <v>MMM 2009</v>
      </c>
      <c r="W272" s="11" t="str">
        <f>'(FnCalls 1)'!F26</f>
        <v>MMM 2009</v>
      </c>
      <c r="X272" s="11" t="str">
        <f>'(FnCalls 1)'!F27</f>
        <v>MMM 2009</v>
      </c>
      <c r="Y272" s="11" t="str">
        <f>'(FnCalls 1)'!F28</f>
        <v>MMM 2009</v>
      </c>
      <c r="Z272" s="11" t="str">
        <f>'(FnCalls 1)'!F29</f>
        <v>MMM 2010</v>
      </c>
      <c r="AA272" s="11" t="str">
        <f>'(FnCalls 1)'!F30</f>
        <v>MMM 2010</v>
      </c>
      <c r="AB272" s="11" t="str">
        <f>'(FnCalls 1)'!F31</f>
        <v>MMM 2010</v>
      </c>
      <c r="AC272" s="11" t="str">
        <f>'(FnCalls 1)'!F32</f>
        <v>MMM 2010</v>
      </c>
      <c r="AD272" s="11" t="str">
        <f>'(FnCalls 1)'!F33</f>
        <v>MMM 2010</v>
      </c>
      <c r="AE272" s="11" t="str">
        <f>'(FnCalls 1)'!F34</f>
        <v>MMM 2010</v>
      </c>
      <c r="AF272" s="11" t="str">
        <f>'(FnCalls 1)'!F35</f>
        <v>MMM 2010</v>
      </c>
      <c r="AG272" s="11" t="str">
        <f>'(FnCalls 1)'!F36</f>
        <v>MMM 2010</v>
      </c>
      <c r="AH272" s="11" t="str">
        <f>'(FnCalls 1)'!F37</f>
        <v>MMM 2010</v>
      </c>
      <c r="AI272" s="11" t="str">
        <f>'(FnCalls 1)'!F38</f>
        <v>MMM 2010</v>
      </c>
      <c r="AJ272" s="11" t="str">
        <f>'(FnCalls 1)'!F39</f>
        <v>MMM 2010</v>
      </c>
      <c r="AK272" s="11" t="str">
        <f>'(FnCalls 1)'!F40</f>
        <v>MMM 2010</v>
      </c>
      <c r="AL272" s="11" t="str">
        <f>'(FnCalls 1)'!F41</f>
        <v>MMM 2011</v>
      </c>
      <c r="AM272" s="11" t="str">
        <f>'(FnCalls 1)'!F42</f>
        <v>MMM 2011</v>
      </c>
      <c r="AN272" s="11" t="str">
        <f>'(FnCalls 1)'!F43</f>
        <v>MMM 2011</v>
      </c>
      <c r="AO272" s="11" t="str">
        <f>'(FnCalls 1)'!F44</f>
        <v>MMM 2011</v>
      </c>
      <c r="AP272" s="11" t="str">
        <f>'(FnCalls 1)'!F45</f>
        <v>MMM 2011</v>
      </c>
      <c r="AQ272" s="12" t="str">
        <f>'(FnCalls 1)'!F46</f>
        <v>MMM 2011</v>
      </c>
    </row>
    <row r="273" spans="1:43" ht="12.75" customHeight="1" x14ac:dyDescent="0.2">
      <c r="A273" s="128" t="str">
        <f>Labels!B186</f>
        <v>Asset 1</v>
      </c>
      <c r="B273" s="141">
        <f>IF(B277&lt;=0,0,IF(Inputs!G188="None",0,IF(Inputs!G188="SYD",SYD(B216,B228,B220*12,B277),MIN(0-B228,MAX(SLN(B216,B228,B220*12))))))</f>
        <v>0</v>
      </c>
      <c r="C273" s="141">
        <f>IF(C277&lt;=0,0,IF(Inputs!G188="None",0,IF(Inputs!G188="SYD",SYD(B216,B228,B220*12,C277),MIN(B285-B228,MAX(SLN(B216,B228,B220*12))))))</f>
        <v>0</v>
      </c>
      <c r="D273" s="141">
        <f>IF(D277&lt;=0,0,IF(Inputs!G188="None",0,IF(Inputs!G188="SYD",SYD(B216,B228,B220*12,D277),MIN(C285-B228,MAX(SLN(B216,B228,B220*12))))))</f>
        <v>0</v>
      </c>
      <c r="E273" s="141">
        <f>IF(E277&lt;=0,0,IF(Inputs!G188="None",0,IF(Inputs!G188="SYD",SYD(B216,B228,B220*12,E277),MIN(D285-B228,MAX(SLN(B216,B228,B220*12))))))</f>
        <v>0</v>
      </c>
      <c r="F273" s="141">
        <f>IF(F277&lt;=0,0,IF(Inputs!G188="None",0,IF(Inputs!G188="SYD",SYD(B216,B228,B220*12,F277),MIN(E285-B228,MAX(SLN(B216,B228,B220*12))))))</f>
        <v>0</v>
      </c>
      <c r="G273" s="141">
        <f>IF(G277&lt;=0,0,IF(Inputs!G188="None",0,IF(Inputs!G188="SYD",SYD(B216,B228,B220*12,G277),MIN(F285-B228,MAX(SLN(B216,B228,B220*12))))))</f>
        <v>0</v>
      </c>
      <c r="H273" s="141">
        <f>IF(H277&lt;=0,0,IF(Inputs!G188="None",0,IF(Inputs!G188="SYD",SYD(B216,B228,B220*12,H277),MIN(G285-B228,MAX(SLN(B216,B228,B220*12))))))</f>
        <v>0</v>
      </c>
      <c r="I273" s="141">
        <f>IF(I277&lt;=0,0,IF(Inputs!G188="None",0,IF(Inputs!G188="SYD",SYD(B216,B228,B220*12,I277),MIN(H285-B228,MAX(SLN(B216,B228,B220*12))))))</f>
        <v>0</v>
      </c>
      <c r="J273" s="141">
        <f>IF(J277&lt;=0,0,IF(Inputs!G188="None",0,IF(Inputs!G188="SYD",SYD(B216,B228,B220*12,J277),MIN(I285-B228,MAX(SLN(B216,B228,B220*12))))))</f>
        <v>0</v>
      </c>
      <c r="K273" s="141">
        <f>IF(K277&lt;=0,0,IF(Inputs!G188="None",0,IF(Inputs!G188="SYD",SYD(B216,B228,B220*12,K277),MIN(J285-B228,MAX(SLN(B216,B228,B220*12))))))</f>
        <v>0</v>
      </c>
      <c r="L273" s="141">
        <f>IF(L277&lt;=0,0,IF(Inputs!G188="None",0,IF(Inputs!G188="SYD",SYD(B216,B228,B220*12,L277),MIN(K285-B228,MAX(SLN(B216,B228,B220*12))))))</f>
        <v>0</v>
      </c>
      <c r="M273" s="141">
        <f>IF(M277&lt;=0,0,IF(Inputs!G188="None",0,IF(Inputs!G188="SYD",SYD(B216,B228,B220*12,M277),MIN(L285-B228,MAX(SLN(B216,B228,B220*12))))))</f>
        <v>0</v>
      </c>
      <c r="N273" s="141">
        <f>IF(N277&lt;=0,0,IF(Inputs!G188="None",0,IF(Inputs!G188="SYD",SYD(B216,B228,B220*12,N277),MIN(M285-B228,MAX(SLN(B216,B228,B220*12))))))</f>
        <v>0</v>
      </c>
      <c r="O273" s="141">
        <f>IF(O277&lt;=0,0,IF(Inputs!G188="None",0,IF(Inputs!G188="SYD",SYD(B216,B228,B220*12,O277),MIN(N285-B228,MAX(SLN(B216,B228,B220*12))))))</f>
        <v>0</v>
      </c>
      <c r="P273" s="141">
        <f>IF(P277&lt;=0,0,IF(Inputs!G188="None",0,IF(Inputs!G188="SYD",SYD(B216,B228,B220*12,P277),MIN(O285-B228,MAX(SLN(B216,B228,B220*12))))))</f>
        <v>0</v>
      </c>
      <c r="Q273" s="141">
        <f>IF(Q277&lt;=0,0,IF(Inputs!G188="None",0,IF(Inputs!G188="SYD",SYD(B216,B228,B220*12,Q277),MIN(P285-B228,MAX(SLN(B216,B228,B220*12))))))</f>
        <v>0</v>
      </c>
      <c r="R273" s="141">
        <f>IF(R277&lt;=0,0,IF(Inputs!G188="None",0,IF(Inputs!G188="SYD",SYD(B216,B228,B220*12,R277),MIN(Q285-B228,MAX(SLN(B216,B228,B220*12))))))</f>
        <v>0</v>
      </c>
      <c r="S273" s="141">
        <f>IF(S277&lt;=0,0,IF(Inputs!G188="None",0,IF(Inputs!G188="SYD",SYD(B216,B228,B220*12,S277),MIN(R285-B228,MAX(SLN(B216,B228,B220*12))))))</f>
        <v>0</v>
      </c>
      <c r="T273" s="141">
        <f>IF(T277&lt;=0,0,IF(Inputs!G188="None",0,IF(Inputs!G188="SYD",SYD(B216,B228,B220*12,T277),MIN(S285-B228,MAX(SLN(B216,B228,B220*12))))))</f>
        <v>0</v>
      </c>
      <c r="U273" s="141">
        <f>IF(U277&lt;=0,0,IF(Inputs!G188="None",0,IF(Inputs!G188="SYD",SYD(B216,B228,B220*12,U277),MIN(T285-B228,MAX(SLN(B216,B228,B220*12))))))</f>
        <v>0</v>
      </c>
      <c r="V273" s="141">
        <f>IF(V277&lt;=0,0,IF(Inputs!G188="None",0,IF(Inputs!G188="SYD",SYD(B216,B228,B220*12,V277),MIN(U285-B228,MAX(SLN(B216,B228,B220*12))))))</f>
        <v>0</v>
      </c>
      <c r="W273" s="141">
        <f>IF(W277&lt;=0,0,IF(Inputs!G188="None",0,IF(Inputs!G188="SYD",SYD(B216,B228,B220*12,W277),MIN(V285-B228,MAX(SLN(B216,B228,B220*12))))))</f>
        <v>0</v>
      </c>
      <c r="X273" s="141">
        <f>IF(X277&lt;=0,0,IF(Inputs!G188="None",0,IF(Inputs!G188="SYD",SYD(B216,B228,B220*12,X277),MIN(W285-B228,MAX(SLN(B216,B228,B220*12))))))</f>
        <v>0</v>
      </c>
      <c r="Y273" s="141">
        <f>IF(Y277&lt;=0,0,IF(Inputs!G188="None",0,IF(Inputs!G188="SYD",SYD(B216,B228,B220*12,Y277),MIN(X285-B228,MAX(SLN(B216,B228,B220*12))))))</f>
        <v>0</v>
      </c>
      <c r="Z273" s="141">
        <f>IF(Z277&lt;=0,0,IF(Inputs!G188="None",0,IF(Inputs!G188="SYD",SYD(B216,B228,B220*12,Z277),MIN(Y285-B228,MAX(SLN(B216,B228,B220*12))))))</f>
        <v>0</v>
      </c>
      <c r="AA273" s="141">
        <f>IF(AA277&lt;=0,0,IF(Inputs!G188="None",0,IF(Inputs!G188="SYD",SYD(B216,B228,B220*12,AA277),MIN(Z285-B228,MAX(SLN(B216,B228,B220*12))))))</f>
        <v>0</v>
      </c>
      <c r="AB273" s="141">
        <f>IF(AB277&lt;=0,0,IF(Inputs!G188="None",0,IF(Inputs!G188="SYD",SYD(B216,B228,B220*12,AB277),MIN(AA285-B228,MAX(SLN(B216,B228,B220*12))))))</f>
        <v>0</v>
      </c>
      <c r="AC273" s="141">
        <f>IF(AC277&lt;=0,0,IF(Inputs!G188="None",0,IF(Inputs!G188="SYD",SYD(B216,B228,B220*12,AC277),MIN(AB285-B228,MAX(SLN(B216,B228,B220*12))))))</f>
        <v>0</v>
      </c>
      <c r="AD273" s="141">
        <f>IF(AD277&lt;=0,0,IF(Inputs!G188="None",0,IF(Inputs!G188="SYD",SYD(B216,B228,B220*12,AD277),MIN(AC285-B228,MAX(SLN(B216,B228,B220*12))))))</f>
        <v>0</v>
      </c>
      <c r="AE273" s="141">
        <f>IF(AE277&lt;=0,0,IF(Inputs!G188="None",0,IF(Inputs!G188="SYD",SYD(B216,B228,B220*12,AE277),MIN(AD285-B228,MAX(SLN(B216,B228,B220*12))))))</f>
        <v>0</v>
      </c>
      <c r="AF273" s="141">
        <f>IF(AF277&lt;=0,0,IF(Inputs!G188="None",0,IF(Inputs!G188="SYD",SYD(B216,B228,B220*12,AF277),MIN(AE285-B228,MAX(SLN(B216,B228,B220*12))))))</f>
        <v>0</v>
      </c>
      <c r="AG273" s="141">
        <f>IF(AG277&lt;=0,0,IF(Inputs!G188="None",0,IF(Inputs!G188="SYD",SYD(B216,B228,B220*12,AG277),MIN(AF285-B228,MAX(SLN(B216,B228,B220*12))))))</f>
        <v>0</v>
      </c>
      <c r="AH273" s="141">
        <f>IF(AH277&lt;=0,0,IF(Inputs!G188="None",0,IF(Inputs!G188="SYD",SYD(B216,B228,B220*12,AH277),MIN(AG285-B228,MAX(SLN(B216,B228,B220*12))))))</f>
        <v>0</v>
      </c>
      <c r="AI273" s="141">
        <f>IF(AI277&lt;=0,0,IF(Inputs!G188="None",0,IF(Inputs!G188="SYD",SYD(B216,B228,B220*12,AI277),MIN(AH285-B228,MAX(SLN(B216,B228,B220*12))))))</f>
        <v>0</v>
      </c>
      <c r="AJ273" s="141">
        <f>IF(AJ277&lt;=0,0,IF(Inputs!G188="None",0,IF(Inputs!G188="SYD",SYD(B216,B228,B220*12,AJ277),MIN(AI285-B228,MAX(SLN(B216,B228,B220*12))))))</f>
        <v>0</v>
      </c>
      <c r="AK273" s="141">
        <f>IF(AK277&lt;=0,0,IF(Inputs!G188="None",0,IF(Inputs!G188="SYD",SYD(B216,B228,B220*12,AK277),MIN(AJ285-B228,MAX(SLN(B216,B228,B220*12))))))</f>
        <v>0</v>
      </c>
      <c r="AL273" s="141">
        <f>Assets!C58</f>
        <v>0</v>
      </c>
      <c r="AM273" s="141">
        <f>Assets!D58</f>
        <v>0</v>
      </c>
      <c r="AN273" s="141">
        <f>Assets!E58</f>
        <v>0</v>
      </c>
      <c r="AO273" s="141">
        <f>Assets!F58</f>
        <v>0</v>
      </c>
      <c r="AP273" s="141">
        <f>Assets!G58</f>
        <v>0</v>
      </c>
      <c r="AQ273" s="225">
        <f>Assets!H58</f>
        <v>0</v>
      </c>
    </row>
    <row r="274" spans="1:43" ht="12.75" customHeight="1" x14ac:dyDescent="0.2">
      <c r="A274" s="91" t="str">
        <f>Labels!C185</f>
        <v>Total</v>
      </c>
      <c r="B274" s="149">
        <f t="shared" ref="B274:AK274" si="54">B273</f>
        <v>0</v>
      </c>
      <c r="C274" s="149">
        <f t="shared" si="54"/>
        <v>0</v>
      </c>
      <c r="D274" s="149">
        <f t="shared" si="54"/>
        <v>0</v>
      </c>
      <c r="E274" s="149">
        <f t="shared" si="54"/>
        <v>0</v>
      </c>
      <c r="F274" s="149">
        <f t="shared" si="54"/>
        <v>0</v>
      </c>
      <c r="G274" s="149">
        <f t="shared" si="54"/>
        <v>0</v>
      </c>
      <c r="H274" s="149">
        <f t="shared" si="54"/>
        <v>0</v>
      </c>
      <c r="I274" s="149">
        <f t="shared" si="54"/>
        <v>0</v>
      </c>
      <c r="J274" s="149">
        <f t="shared" si="54"/>
        <v>0</v>
      </c>
      <c r="K274" s="149">
        <f t="shared" si="54"/>
        <v>0</v>
      </c>
      <c r="L274" s="149">
        <f t="shared" si="54"/>
        <v>0</v>
      </c>
      <c r="M274" s="149">
        <f t="shared" si="54"/>
        <v>0</v>
      </c>
      <c r="N274" s="149">
        <f t="shared" si="54"/>
        <v>0</v>
      </c>
      <c r="O274" s="149">
        <f t="shared" si="54"/>
        <v>0</v>
      </c>
      <c r="P274" s="149">
        <f t="shared" si="54"/>
        <v>0</v>
      </c>
      <c r="Q274" s="149">
        <f t="shared" si="54"/>
        <v>0</v>
      </c>
      <c r="R274" s="149">
        <f t="shared" si="54"/>
        <v>0</v>
      </c>
      <c r="S274" s="149">
        <f t="shared" si="54"/>
        <v>0</v>
      </c>
      <c r="T274" s="149">
        <f t="shared" si="54"/>
        <v>0</v>
      </c>
      <c r="U274" s="149">
        <f t="shared" si="54"/>
        <v>0</v>
      </c>
      <c r="V274" s="149">
        <f t="shared" si="54"/>
        <v>0</v>
      </c>
      <c r="W274" s="149">
        <f t="shared" si="54"/>
        <v>0</v>
      </c>
      <c r="X274" s="149">
        <f t="shared" si="54"/>
        <v>0</v>
      </c>
      <c r="Y274" s="149">
        <f t="shared" si="54"/>
        <v>0</v>
      </c>
      <c r="Z274" s="149">
        <f t="shared" si="54"/>
        <v>0</v>
      </c>
      <c r="AA274" s="149">
        <f t="shared" si="54"/>
        <v>0</v>
      </c>
      <c r="AB274" s="149">
        <f t="shared" si="54"/>
        <v>0</v>
      </c>
      <c r="AC274" s="149">
        <f t="shared" si="54"/>
        <v>0</v>
      </c>
      <c r="AD274" s="149">
        <f t="shared" si="54"/>
        <v>0</v>
      </c>
      <c r="AE274" s="149">
        <f t="shared" si="54"/>
        <v>0</v>
      </c>
      <c r="AF274" s="149">
        <f t="shared" si="54"/>
        <v>0</v>
      </c>
      <c r="AG274" s="149">
        <f t="shared" si="54"/>
        <v>0</v>
      </c>
      <c r="AH274" s="149">
        <f t="shared" si="54"/>
        <v>0</v>
      </c>
      <c r="AI274" s="149">
        <f t="shared" si="54"/>
        <v>0</v>
      </c>
      <c r="AJ274" s="149">
        <f t="shared" si="54"/>
        <v>0</v>
      </c>
      <c r="AK274" s="149">
        <f t="shared" si="54"/>
        <v>0</v>
      </c>
      <c r="AL274" s="149">
        <f>Assets!C58</f>
        <v>0</v>
      </c>
      <c r="AM274" s="149">
        <f>Assets!D58</f>
        <v>0</v>
      </c>
      <c r="AN274" s="149">
        <f>Assets!E58</f>
        <v>0</v>
      </c>
      <c r="AO274" s="149">
        <f>Assets!F58</f>
        <v>0</v>
      </c>
      <c r="AP274" s="149">
        <f>Assets!G58</f>
        <v>0</v>
      </c>
      <c r="AQ274" s="227">
        <f>Assets!H58</f>
        <v>0</v>
      </c>
    </row>
    <row r="275" spans="1:43" ht="12.75" customHeight="1" x14ac:dyDescent="0.2">
      <c r="A275" s="1" t="str">
        <f>Labels!B154</f>
        <v>Deprec Period</v>
      </c>
    </row>
    <row r="276" spans="1:43" ht="12.75" customHeight="1" x14ac:dyDescent="0.2">
      <c r="B276" s="10" t="str">
        <f>'(FnCalls 1)'!F5</f>
        <v>MMM 2008</v>
      </c>
      <c r="C276" s="11" t="str">
        <f>'(FnCalls 1)'!F6</f>
        <v>MMM 2008</v>
      </c>
      <c r="D276" s="11" t="str">
        <f>'(FnCalls 1)'!F7</f>
        <v>MMM 2008</v>
      </c>
      <c r="E276" s="11" t="str">
        <f>'(FnCalls 1)'!F8</f>
        <v>MMM 2008</v>
      </c>
      <c r="F276" s="11" t="str">
        <f>'(FnCalls 1)'!F9</f>
        <v>MMM 2008</v>
      </c>
      <c r="G276" s="11" t="str">
        <f>'(FnCalls 1)'!F10</f>
        <v>MMM 2008</v>
      </c>
      <c r="H276" s="11" t="str">
        <f>'(FnCalls 1)'!F11</f>
        <v>MMM 2008</v>
      </c>
      <c r="I276" s="11" t="str">
        <f>'(FnCalls 1)'!F12</f>
        <v>MMM 2008</v>
      </c>
      <c r="J276" s="11" t="str">
        <f>'(FnCalls 1)'!F13</f>
        <v>MMM 2008</v>
      </c>
      <c r="K276" s="11" t="str">
        <f>'(FnCalls 1)'!F14</f>
        <v>MMM 2008</v>
      </c>
      <c r="L276" s="11" t="str">
        <f>'(FnCalls 1)'!F15</f>
        <v>MMM 2008</v>
      </c>
      <c r="M276" s="11" t="str">
        <f>'(FnCalls 1)'!F16</f>
        <v>MMM 2008</v>
      </c>
      <c r="N276" s="11" t="str">
        <f>'(FnCalls 1)'!F17</f>
        <v>MMM 2009</v>
      </c>
      <c r="O276" s="11" t="str">
        <f>'(FnCalls 1)'!F18</f>
        <v>MMM 2009</v>
      </c>
      <c r="P276" s="11" t="str">
        <f>'(FnCalls 1)'!F19</f>
        <v>MMM 2009</v>
      </c>
      <c r="Q276" s="11" t="str">
        <f>'(FnCalls 1)'!F20</f>
        <v>MMM 2009</v>
      </c>
      <c r="R276" s="11" t="str">
        <f>'(FnCalls 1)'!F21</f>
        <v>MMM 2009</v>
      </c>
      <c r="S276" s="11" t="str">
        <f>'(FnCalls 1)'!F22</f>
        <v>MMM 2009</v>
      </c>
      <c r="T276" s="11" t="str">
        <f>'(FnCalls 1)'!F23</f>
        <v>MMM 2009</v>
      </c>
      <c r="U276" s="11" t="str">
        <f>'(FnCalls 1)'!F24</f>
        <v>MMM 2009</v>
      </c>
      <c r="V276" s="11" t="str">
        <f>'(FnCalls 1)'!F25</f>
        <v>MMM 2009</v>
      </c>
      <c r="W276" s="11" t="str">
        <f>'(FnCalls 1)'!F26</f>
        <v>MMM 2009</v>
      </c>
      <c r="X276" s="11" t="str">
        <f>'(FnCalls 1)'!F27</f>
        <v>MMM 2009</v>
      </c>
      <c r="Y276" s="11" t="str">
        <f>'(FnCalls 1)'!F28</f>
        <v>MMM 2009</v>
      </c>
      <c r="Z276" s="11" t="str">
        <f>'(FnCalls 1)'!F29</f>
        <v>MMM 2010</v>
      </c>
      <c r="AA276" s="11" t="str">
        <f>'(FnCalls 1)'!F30</f>
        <v>MMM 2010</v>
      </c>
      <c r="AB276" s="11" t="str">
        <f>'(FnCalls 1)'!F31</f>
        <v>MMM 2010</v>
      </c>
      <c r="AC276" s="11" t="str">
        <f>'(FnCalls 1)'!F32</f>
        <v>MMM 2010</v>
      </c>
      <c r="AD276" s="11" t="str">
        <f>'(FnCalls 1)'!F33</f>
        <v>MMM 2010</v>
      </c>
      <c r="AE276" s="11" t="str">
        <f>'(FnCalls 1)'!F34</f>
        <v>MMM 2010</v>
      </c>
      <c r="AF276" s="11" t="str">
        <f>'(FnCalls 1)'!F35</f>
        <v>MMM 2010</v>
      </c>
      <c r="AG276" s="11" t="str">
        <f>'(FnCalls 1)'!F36</f>
        <v>MMM 2010</v>
      </c>
      <c r="AH276" s="11" t="str">
        <f>'(FnCalls 1)'!F37</f>
        <v>MMM 2010</v>
      </c>
      <c r="AI276" s="11" t="str">
        <f>'(FnCalls 1)'!F38</f>
        <v>MMM 2010</v>
      </c>
      <c r="AJ276" s="11" t="str">
        <f>'(FnCalls 1)'!F39</f>
        <v>MMM 2010</v>
      </c>
      <c r="AK276" s="11" t="str">
        <f>'(FnCalls 1)'!F40</f>
        <v>MMM 2010</v>
      </c>
      <c r="AL276" s="11" t="str">
        <f>'(FnCalls 1)'!F41</f>
        <v>MMM 2011</v>
      </c>
      <c r="AM276" s="11" t="str">
        <f>'(FnCalls 1)'!F42</f>
        <v>MMM 2011</v>
      </c>
      <c r="AN276" s="11" t="str">
        <f>'(FnCalls 1)'!F43</f>
        <v>MMM 2011</v>
      </c>
      <c r="AO276" s="11" t="str">
        <f>'(FnCalls 1)'!F44</f>
        <v>MMM 2011</v>
      </c>
      <c r="AP276" s="11" t="str">
        <f>'(FnCalls 1)'!F45</f>
        <v>MMM 2011</v>
      </c>
      <c r="AQ276" s="12" t="str">
        <f>'(FnCalls 1)'!F46</f>
        <v>MMM 2011</v>
      </c>
    </row>
    <row r="277" spans="1:43" ht="12.75" customHeight="1" x14ac:dyDescent="0.2">
      <c r="A277" s="128" t="str">
        <f>Labels!B186</f>
        <v>Asset 1</v>
      </c>
      <c r="B277" s="196">
        <f>IF(Inputs!E188&lt;=DATE(YEAR('(FnCalls 1)'!A5),MONTH('(FnCalls 1)'!A5)+TRUNC((-B281)),DAY('(FnCalls 1)'!A5)),-2,IF('(FnCalls 1)'!A5&lt;=Inputs!E188,IF(Inputs!E188&lt;='(FnCalls 1)'!A6-1,0,-1),-1+1))</f>
        <v>-1</v>
      </c>
      <c r="C277" s="196">
        <f>IF(Inputs!E188&lt;=DATE(YEAR('(FnCalls 1)'!A6),MONTH('(FnCalls 1)'!A6)+TRUNC((-B281)),DAY('(FnCalls 1)'!A6)),-2,IF('(FnCalls 1)'!A6&lt;=Inputs!E188,IF(Inputs!E188&lt;='(FnCalls 1)'!A7-1,0,-1),B277+1))</f>
        <v>-1</v>
      </c>
      <c r="D277" s="196">
        <f>IF(Inputs!E188&lt;=DATE(YEAR('(FnCalls 1)'!A7),MONTH('(FnCalls 1)'!A7)+TRUNC((-B281)),DAY('(FnCalls 1)'!A7)),-2,IF('(FnCalls 1)'!A7&lt;=Inputs!E188,IF(Inputs!E188&lt;='(FnCalls 1)'!A8-1,0,-1),C277+1))</f>
        <v>-1</v>
      </c>
      <c r="E277" s="196">
        <f>IF(Inputs!E188&lt;=DATE(YEAR('(FnCalls 1)'!A8),MONTH('(FnCalls 1)'!A8)+TRUNC((-B281)),DAY('(FnCalls 1)'!A8)),-2,IF('(FnCalls 1)'!A8&lt;=Inputs!E188,IF(Inputs!E188&lt;='(FnCalls 1)'!A9-1,0,-1),D277+1))</f>
        <v>-1</v>
      </c>
      <c r="F277" s="196">
        <f>IF(Inputs!E188&lt;=DATE(YEAR('(FnCalls 1)'!A9),MONTH('(FnCalls 1)'!A9)+TRUNC((-B281)),DAY('(FnCalls 1)'!A9)),-2,IF('(FnCalls 1)'!A9&lt;=Inputs!E188,IF(Inputs!E188&lt;='(FnCalls 1)'!A10-1,0,-1),E277+1))</f>
        <v>-1</v>
      </c>
      <c r="G277" s="196">
        <f>IF(Inputs!E188&lt;=DATE(YEAR('(FnCalls 1)'!A10),MONTH('(FnCalls 1)'!A10)+TRUNC((-B281)),DAY('(FnCalls 1)'!A10)),-2,IF('(FnCalls 1)'!A10&lt;=Inputs!E188,IF(Inputs!E188&lt;='(FnCalls 1)'!A11-1,0,-1),F277+1))</f>
        <v>-1</v>
      </c>
      <c r="H277" s="196">
        <f>IF(Inputs!E188&lt;=DATE(YEAR('(FnCalls 1)'!A11),MONTH('(FnCalls 1)'!A11)+TRUNC((-B281)),DAY('(FnCalls 1)'!A11)),-2,IF('(FnCalls 1)'!A11&lt;=Inputs!E188,IF(Inputs!E188&lt;='(FnCalls 1)'!A12-1,0,-1),G277+1))</f>
        <v>-1</v>
      </c>
      <c r="I277" s="196">
        <f>IF(Inputs!E188&lt;=DATE(YEAR('(FnCalls 1)'!A12),MONTH('(FnCalls 1)'!A12)+TRUNC((-B281)),DAY('(FnCalls 1)'!A12)),-2,IF('(FnCalls 1)'!A12&lt;=Inputs!E188,IF(Inputs!E188&lt;='(FnCalls 1)'!A13-1,0,-1),H277+1))</f>
        <v>-1</v>
      </c>
      <c r="J277" s="196">
        <f>IF(Inputs!E188&lt;=DATE(YEAR('(FnCalls 1)'!A13),MONTH('(FnCalls 1)'!A13)+TRUNC((-B281)),DAY('(FnCalls 1)'!A13)),-2,IF('(FnCalls 1)'!A13&lt;=Inputs!E188,IF(Inputs!E188&lt;='(FnCalls 1)'!A14-1,0,-1),I277+1))</f>
        <v>-1</v>
      </c>
      <c r="K277" s="196">
        <f>IF(Inputs!E188&lt;=DATE(YEAR('(FnCalls 1)'!A14),MONTH('(FnCalls 1)'!A14)+TRUNC((-B281)),DAY('(FnCalls 1)'!A14)),-2,IF('(FnCalls 1)'!A14&lt;=Inputs!E188,IF(Inputs!E188&lt;='(FnCalls 1)'!A15-1,0,-1),J277+1))</f>
        <v>-1</v>
      </c>
      <c r="L277" s="196">
        <f>IF(Inputs!E188&lt;=DATE(YEAR('(FnCalls 1)'!A15),MONTH('(FnCalls 1)'!A15)+TRUNC((-B281)),DAY('(FnCalls 1)'!A15)),-2,IF('(FnCalls 1)'!A15&lt;=Inputs!E188,IF(Inputs!E188&lt;='(FnCalls 1)'!A16-1,0,-1),K277+1))</f>
        <v>-1</v>
      </c>
      <c r="M277" s="196">
        <f>IF(Inputs!E188&lt;=DATE(YEAR('(FnCalls 1)'!A16),MONTH('(FnCalls 1)'!A16)+TRUNC((-B281)),DAY('(FnCalls 1)'!A16)),-2,IF('(FnCalls 1)'!A16&lt;=Inputs!E188,IF(Inputs!E188&lt;='(FnCalls 1)'!A17-1,0,-1),L277+1))</f>
        <v>-1</v>
      </c>
      <c r="N277" s="196">
        <f>IF(Inputs!E188&lt;=DATE(YEAR('(FnCalls 1)'!A17),MONTH('(FnCalls 1)'!A17)+TRUNC((-B281)),DAY('(FnCalls 1)'!A17)),-2,IF('(FnCalls 1)'!A17&lt;=Inputs!E188,IF(Inputs!E188&lt;='(FnCalls 1)'!A18-1,0,-1),M277+1))</f>
        <v>-1</v>
      </c>
      <c r="O277" s="196">
        <f>IF(Inputs!E188&lt;=DATE(YEAR('(FnCalls 1)'!A18),MONTH('(FnCalls 1)'!A18)+TRUNC((-B281)),DAY('(FnCalls 1)'!A18)),-2,IF('(FnCalls 1)'!A18&lt;=Inputs!E188,IF(Inputs!E188&lt;='(FnCalls 1)'!A19-1,0,-1),N277+1))</f>
        <v>-1</v>
      </c>
      <c r="P277" s="196">
        <f>IF(Inputs!E188&lt;=DATE(YEAR('(FnCalls 1)'!A19),MONTH('(FnCalls 1)'!A19)+TRUNC((-B281)),DAY('(FnCalls 1)'!A19)),-2,IF('(FnCalls 1)'!A19&lt;=Inputs!E188,IF(Inputs!E188&lt;='(FnCalls 1)'!A20-1,0,-1),O277+1))</f>
        <v>-1</v>
      </c>
      <c r="Q277" s="196">
        <f>IF(Inputs!E188&lt;=DATE(YEAR('(FnCalls 1)'!A20),MONTH('(FnCalls 1)'!A20)+TRUNC((-B281)),DAY('(FnCalls 1)'!A20)),-2,IF('(FnCalls 1)'!A20&lt;=Inputs!E188,IF(Inputs!E188&lt;='(FnCalls 1)'!A21-1,0,-1),P277+1))</f>
        <v>-1</v>
      </c>
      <c r="R277" s="196">
        <f>IF(Inputs!E188&lt;=DATE(YEAR('(FnCalls 1)'!A21),MONTH('(FnCalls 1)'!A21)+TRUNC((-B281)),DAY('(FnCalls 1)'!A21)),-2,IF('(FnCalls 1)'!A21&lt;=Inputs!E188,IF(Inputs!E188&lt;='(FnCalls 1)'!A22-1,0,-1),Q277+1))</f>
        <v>-1</v>
      </c>
      <c r="S277" s="196">
        <f>IF(Inputs!E188&lt;=DATE(YEAR('(FnCalls 1)'!A22),MONTH('(FnCalls 1)'!A22)+TRUNC((-B281)),DAY('(FnCalls 1)'!A22)),-2,IF('(FnCalls 1)'!A22&lt;=Inputs!E188,IF(Inputs!E188&lt;='(FnCalls 1)'!A23-1,0,-1),R277+1))</f>
        <v>-1</v>
      </c>
      <c r="T277" s="196">
        <f>IF(Inputs!E188&lt;=DATE(YEAR('(FnCalls 1)'!A23),MONTH('(FnCalls 1)'!A23)+TRUNC((-B281)),DAY('(FnCalls 1)'!A23)),-2,IF('(FnCalls 1)'!A23&lt;=Inputs!E188,IF(Inputs!E188&lt;='(FnCalls 1)'!A24-1,0,-1),S277+1))</f>
        <v>-1</v>
      </c>
      <c r="U277" s="196">
        <f>IF(Inputs!E188&lt;=DATE(YEAR('(FnCalls 1)'!A24),MONTH('(FnCalls 1)'!A24)+TRUNC((-B281)),DAY('(FnCalls 1)'!A24)),-2,IF('(FnCalls 1)'!A24&lt;=Inputs!E188,IF(Inputs!E188&lt;='(FnCalls 1)'!A25-1,0,-1),T277+1))</f>
        <v>-1</v>
      </c>
      <c r="V277" s="196">
        <f>IF(Inputs!E188&lt;=DATE(YEAR('(FnCalls 1)'!A25),MONTH('(FnCalls 1)'!A25)+TRUNC((-B281)),DAY('(FnCalls 1)'!A25)),-2,IF('(FnCalls 1)'!A25&lt;=Inputs!E188,IF(Inputs!E188&lt;='(FnCalls 1)'!A26-1,0,-1),U277+1))</f>
        <v>-1</v>
      </c>
      <c r="W277" s="196">
        <f>IF(Inputs!E188&lt;=DATE(YEAR('(FnCalls 1)'!A26),MONTH('(FnCalls 1)'!A26)+TRUNC((-B281)),DAY('(FnCalls 1)'!A26)),-2,IF('(FnCalls 1)'!A26&lt;=Inputs!E188,IF(Inputs!E188&lt;='(FnCalls 1)'!A27-1,0,-1),V277+1))</f>
        <v>-1</v>
      </c>
      <c r="X277" s="196">
        <f>IF(Inputs!E188&lt;=DATE(YEAR('(FnCalls 1)'!A27),MONTH('(FnCalls 1)'!A27)+TRUNC((-B281)),DAY('(FnCalls 1)'!A27)),-2,IF('(FnCalls 1)'!A27&lt;=Inputs!E188,IF(Inputs!E188&lt;='(FnCalls 1)'!A28-1,0,-1),W277+1))</f>
        <v>-1</v>
      </c>
      <c r="Y277" s="196">
        <f>IF(Inputs!E188&lt;=DATE(YEAR('(FnCalls 1)'!A28),MONTH('(FnCalls 1)'!A28)+TRUNC((-B281)),DAY('(FnCalls 1)'!A28)),-2,IF('(FnCalls 1)'!A28&lt;=Inputs!E188,IF(Inputs!E188&lt;='(FnCalls 1)'!A29-1,0,-1),X277+1))</f>
        <v>-1</v>
      </c>
      <c r="Z277" s="196">
        <f>IF(Inputs!E188&lt;=DATE(YEAR('(FnCalls 1)'!A29),MONTH('(FnCalls 1)'!A29)+TRUNC((-B281)),DAY('(FnCalls 1)'!A29)),-2,IF('(FnCalls 1)'!A29&lt;=Inputs!E188,IF(Inputs!E188&lt;='(FnCalls 1)'!A30-1,0,-1),Y277+1))</f>
        <v>-1</v>
      </c>
      <c r="AA277" s="196">
        <f>IF(Inputs!E188&lt;=DATE(YEAR('(FnCalls 1)'!A30),MONTH('(FnCalls 1)'!A30)+TRUNC((-B281)),DAY('(FnCalls 1)'!A30)),-2,IF('(FnCalls 1)'!A30&lt;=Inputs!E188,IF(Inputs!E188&lt;='(FnCalls 1)'!A31-1,0,-1),Z277+1))</f>
        <v>-1</v>
      </c>
      <c r="AB277" s="196">
        <f>IF(Inputs!E188&lt;=DATE(YEAR('(FnCalls 1)'!A31),MONTH('(FnCalls 1)'!A31)+TRUNC((-B281)),DAY('(FnCalls 1)'!A31)),-2,IF('(FnCalls 1)'!A31&lt;=Inputs!E188,IF(Inputs!E188&lt;='(FnCalls 1)'!A32-1,0,-1),AA277+1))</f>
        <v>-1</v>
      </c>
      <c r="AC277" s="196">
        <f>IF(Inputs!E188&lt;=DATE(YEAR('(FnCalls 1)'!A32),MONTH('(FnCalls 1)'!A32)+TRUNC((-B281)),DAY('(FnCalls 1)'!A32)),-2,IF('(FnCalls 1)'!A32&lt;=Inputs!E188,IF(Inputs!E188&lt;='(FnCalls 1)'!A33-1,0,-1),AB277+1))</f>
        <v>-1</v>
      </c>
      <c r="AD277" s="196">
        <f>IF(Inputs!E188&lt;=DATE(YEAR('(FnCalls 1)'!A33),MONTH('(FnCalls 1)'!A33)+TRUNC((-B281)),DAY('(FnCalls 1)'!A33)),-2,IF('(FnCalls 1)'!A33&lt;=Inputs!E188,IF(Inputs!E188&lt;='(FnCalls 1)'!A34-1,0,-1),AC277+1))</f>
        <v>-1</v>
      </c>
      <c r="AE277" s="196">
        <f>IF(Inputs!E188&lt;=DATE(YEAR('(FnCalls 1)'!A34),MONTH('(FnCalls 1)'!A34)+TRUNC((-B281)),DAY('(FnCalls 1)'!A34)),-2,IF('(FnCalls 1)'!A34&lt;=Inputs!E188,IF(Inputs!E188&lt;='(FnCalls 1)'!A35-1,0,-1),AD277+1))</f>
        <v>-1</v>
      </c>
      <c r="AF277" s="196">
        <f>IF(Inputs!E188&lt;=DATE(YEAR('(FnCalls 1)'!A35),MONTH('(FnCalls 1)'!A35)+TRUNC((-B281)),DAY('(FnCalls 1)'!A35)),-2,IF('(FnCalls 1)'!A35&lt;=Inputs!E188,IF(Inputs!E188&lt;='(FnCalls 1)'!A36-1,0,-1),AE277+1))</f>
        <v>-1</v>
      </c>
      <c r="AG277" s="196">
        <f>IF(Inputs!E188&lt;=DATE(YEAR('(FnCalls 1)'!A36),MONTH('(FnCalls 1)'!A36)+TRUNC((-B281)),DAY('(FnCalls 1)'!A36)),-2,IF('(FnCalls 1)'!A36&lt;=Inputs!E188,IF(Inputs!E188&lt;='(FnCalls 1)'!A37-1,0,-1),AF277+1))</f>
        <v>-1</v>
      </c>
      <c r="AH277" s="196">
        <f>IF(Inputs!E188&lt;=DATE(YEAR('(FnCalls 1)'!A37),MONTH('(FnCalls 1)'!A37)+TRUNC((-B281)),DAY('(FnCalls 1)'!A37)),-2,IF('(FnCalls 1)'!A37&lt;=Inputs!E188,IF(Inputs!E188&lt;='(FnCalls 1)'!A38-1,0,-1),AG277+1))</f>
        <v>-1</v>
      </c>
      <c r="AI277" s="196">
        <f>IF(Inputs!E188&lt;=DATE(YEAR('(FnCalls 1)'!A38),MONTH('(FnCalls 1)'!A38)+TRUNC((-B281)),DAY('(FnCalls 1)'!A38)),-2,IF('(FnCalls 1)'!A38&lt;=Inputs!E188,IF(Inputs!E188&lt;='(FnCalls 1)'!A39-1,0,-1),AH277+1))</f>
        <v>-1</v>
      </c>
      <c r="AJ277" s="196">
        <f>IF(Inputs!E188&lt;=DATE(YEAR('(FnCalls 1)'!A39),MONTH('(FnCalls 1)'!A39)+TRUNC((-B281)),DAY('(FnCalls 1)'!A39)),-2,IF('(FnCalls 1)'!A39&lt;=Inputs!E188,IF(Inputs!E188&lt;='(FnCalls 1)'!A40-1,0,-1),AI277+1))</f>
        <v>-1</v>
      </c>
      <c r="AK277" s="196">
        <f>IF(Inputs!E188&lt;=DATE(YEAR('(FnCalls 1)'!A40),MONTH('(FnCalls 1)'!A40)+TRUNC((-B281)),DAY('(FnCalls 1)'!A40)),-2,IF('(FnCalls 1)'!A40&lt;=Inputs!E188,IF(Inputs!E188&lt;='(FnCalls 1)'!A41-1,0,-1),AJ277+1))</f>
        <v>-1</v>
      </c>
      <c r="AL277" s="196">
        <f>IF(Inputs!E188&lt;=DATE(YEAR('(FnCalls 1)'!A41),MONTH('(FnCalls 1)'!A41)+TRUNC((-B281)),DAY('(FnCalls 1)'!A41)),-2,IF('(FnCalls 1)'!A41&lt;=Inputs!E188,IF(Inputs!E188&lt;='(FnCalls 1)'!A42-1,0,-1),AK277+1))</f>
        <v>-1</v>
      </c>
      <c r="AM277" s="196">
        <f>IF(Inputs!E188&lt;=DATE(YEAR('(FnCalls 1)'!A42),MONTH('(FnCalls 1)'!A42)+TRUNC((-B281)),DAY('(FnCalls 1)'!A42)),-2,IF('(FnCalls 1)'!A42&lt;=Inputs!E188,IF(Inputs!E188&lt;='(FnCalls 1)'!A43-1,0,-1),AL277+1))</f>
        <v>-1</v>
      </c>
      <c r="AN277" s="196">
        <f>IF(Inputs!E188&lt;=DATE(YEAR('(FnCalls 1)'!A43),MONTH('(FnCalls 1)'!A43)+TRUNC((-B281)),DAY('(FnCalls 1)'!A43)),-2,IF('(FnCalls 1)'!A43&lt;=Inputs!E188,IF(Inputs!E188&lt;='(FnCalls 1)'!A44-1,0,-1),AM277+1))</f>
        <v>-1</v>
      </c>
      <c r="AO277" s="196">
        <f>IF(Inputs!E188&lt;=DATE(YEAR('(FnCalls 1)'!A44),MONTH('(FnCalls 1)'!A44)+TRUNC((-B281)),DAY('(FnCalls 1)'!A44)),-2,IF('(FnCalls 1)'!A44&lt;=Inputs!E188,IF(Inputs!E188&lt;='(FnCalls 1)'!A45-1,0,-1),AN277+1))</f>
        <v>-1</v>
      </c>
      <c r="AP277" s="196">
        <f>IF(Inputs!E188&lt;=DATE(YEAR('(FnCalls 1)'!A45),MONTH('(FnCalls 1)'!A45)+TRUNC((-B281)),DAY('(FnCalls 1)'!A45)),-2,IF('(FnCalls 1)'!A45&lt;=Inputs!E188,IF(Inputs!E188&lt;='(FnCalls 1)'!A46-1,0,-1),AO277+1))</f>
        <v>-1</v>
      </c>
      <c r="AQ277" s="263">
        <f>IF(Inputs!E188&lt;=DATE(YEAR('(FnCalls 1)'!A46),MONTH('(FnCalls 1)'!A46)+TRUNC((-B281)),DAY('(FnCalls 1)'!A46)),-2,IF('(FnCalls 1)'!A46&lt;=Inputs!E188,IF(Inputs!E188&lt;='(FnCalls 1)'!A47-1,0,-1),AP277+1))</f>
        <v>-1</v>
      </c>
    </row>
    <row r="278" spans="1:43" ht="12.75" customHeight="1" x14ac:dyDescent="0.2">
      <c r="A278" s="91" t="str">
        <f>Labels!C185</f>
        <v>Total</v>
      </c>
      <c r="B278" s="211">
        <f t="shared" ref="B278:AQ278" si="55">B277</f>
        <v>-1</v>
      </c>
      <c r="C278" s="211">
        <f t="shared" si="55"/>
        <v>-1</v>
      </c>
      <c r="D278" s="211">
        <f t="shared" si="55"/>
        <v>-1</v>
      </c>
      <c r="E278" s="211">
        <f t="shared" si="55"/>
        <v>-1</v>
      </c>
      <c r="F278" s="211">
        <f t="shared" si="55"/>
        <v>-1</v>
      </c>
      <c r="G278" s="211">
        <f t="shared" si="55"/>
        <v>-1</v>
      </c>
      <c r="H278" s="211">
        <f t="shared" si="55"/>
        <v>-1</v>
      </c>
      <c r="I278" s="211">
        <f t="shared" si="55"/>
        <v>-1</v>
      </c>
      <c r="J278" s="211">
        <f t="shared" si="55"/>
        <v>-1</v>
      </c>
      <c r="K278" s="211">
        <f t="shared" si="55"/>
        <v>-1</v>
      </c>
      <c r="L278" s="211">
        <f t="shared" si="55"/>
        <v>-1</v>
      </c>
      <c r="M278" s="211">
        <f t="shared" si="55"/>
        <v>-1</v>
      </c>
      <c r="N278" s="211">
        <f t="shared" si="55"/>
        <v>-1</v>
      </c>
      <c r="O278" s="211">
        <f t="shared" si="55"/>
        <v>-1</v>
      </c>
      <c r="P278" s="211">
        <f t="shared" si="55"/>
        <v>-1</v>
      </c>
      <c r="Q278" s="211">
        <f t="shared" si="55"/>
        <v>-1</v>
      </c>
      <c r="R278" s="211">
        <f t="shared" si="55"/>
        <v>-1</v>
      </c>
      <c r="S278" s="211">
        <f t="shared" si="55"/>
        <v>-1</v>
      </c>
      <c r="T278" s="211">
        <f t="shared" si="55"/>
        <v>-1</v>
      </c>
      <c r="U278" s="211">
        <f t="shared" si="55"/>
        <v>-1</v>
      </c>
      <c r="V278" s="211">
        <f t="shared" si="55"/>
        <v>-1</v>
      </c>
      <c r="W278" s="211">
        <f t="shared" si="55"/>
        <v>-1</v>
      </c>
      <c r="X278" s="211">
        <f t="shared" si="55"/>
        <v>-1</v>
      </c>
      <c r="Y278" s="211">
        <f t="shared" si="55"/>
        <v>-1</v>
      </c>
      <c r="Z278" s="211">
        <f t="shared" si="55"/>
        <v>-1</v>
      </c>
      <c r="AA278" s="211">
        <f t="shared" si="55"/>
        <v>-1</v>
      </c>
      <c r="AB278" s="211">
        <f t="shared" si="55"/>
        <v>-1</v>
      </c>
      <c r="AC278" s="211">
        <f t="shared" si="55"/>
        <v>-1</v>
      </c>
      <c r="AD278" s="211">
        <f t="shared" si="55"/>
        <v>-1</v>
      </c>
      <c r="AE278" s="211">
        <f t="shared" si="55"/>
        <v>-1</v>
      </c>
      <c r="AF278" s="211">
        <f t="shared" si="55"/>
        <v>-1</v>
      </c>
      <c r="AG278" s="211">
        <f t="shared" si="55"/>
        <v>-1</v>
      </c>
      <c r="AH278" s="211">
        <f t="shared" si="55"/>
        <v>-1</v>
      </c>
      <c r="AI278" s="211">
        <f t="shared" si="55"/>
        <v>-1</v>
      </c>
      <c r="AJ278" s="211">
        <f t="shared" si="55"/>
        <v>-1</v>
      </c>
      <c r="AK278" s="211">
        <f t="shared" si="55"/>
        <v>-1</v>
      </c>
      <c r="AL278" s="211">
        <f t="shared" si="55"/>
        <v>-1</v>
      </c>
      <c r="AM278" s="211">
        <f t="shared" si="55"/>
        <v>-1</v>
      </c>
      <c r="AN278" s="211">
        <f t="shared" si="55"/>
        <v>-1</v>
      </c>
      <c r="AO278" s="211">
        <f t="shared" si="55"/>
        <v>-1</v>
      </c>
      <c r="AP278" s="211">
        <f t="shared" si="55"/>
        <v>-1</v>
      </c>
      <c r="AQ278" s="262">
        <f t="shared" si="55"/>
        <v>-1</v>
      </c>
    </row>
    <row r="279" spans="1:43" ht="12.75" customHeight="1" x14ac:dyDescent="0.2">
      <c r="A279" s="1" t="str">
        <f>Labels!B156</f>
        <v>Deprec Life (periods)</v>
      </c>
    </row>
    <row r="280" spans="1:43" ht="12.75" customHeight="1" x14ac:dyDescent="0.2">
      <c r="B280" s="94"/>
    </row>
    <row r="281" spans="1:43" ht="12.75" customHeight="1" x14ac:dyDescent="0.2">
      <c r="A281" s="128" t="str">
        <f>Labels!B186</f>
        <v>Asset 1</v>
      </c>
      <c r="B281" s="263">
        <f>ROUND(12*B220,0)</f>
        <v>120</v>
      </c>
    </row>
    <row r="282" spans="1:43" ht="12.75" customHeight="1" x14ac:dyDescent="0.2">
      <c r="A282" s="91" t="str">
        <f>Labels!C185</f>
        <v>Total</v>
      </c>
      <c r="B282" s="262">
        <f>B281</f>
        <v>120</v>
      </c>
    </row>
    <row r="283" spans="1:43" ht="12.75" customHeight="1" x14ac:dyDescent="0.2">
      <c r="A283" s="1" t="str">
        <f>Labels!B165</f>
        <v>Tagged Assets</v>
      </c>
    </row>
    <row r="284" spans="1:43" ht="12.75" customHeight="1" x14ac:dyDescent="0.2">
      <c r="B284" s="10" t="str">
        <f>'(FnCalls 1)'!F5</f>
        <v>MMM 2008</v>
      </c>
      <c r="C284" s="11" t="str">
        <f>'(FnCalls 1)'!F6</f>
        <v>MMM 2008</v>
      </c>
      <c r="D284" s="11" t="str">
        <f>'(FnCalls 1)'!F7</f>
        <v>MMM 2008</v>
      </c>
      <c r="E284" s="11" t="str">
        <f>'(FnCalls 1)'!F8</f>
        <v>MMM 2008</v>
      </c>
      <c r="F284" s="11" t="str">
        <f>'(FnCalls 1)'!F9</f>
        <v>MMM 2008</v>
      </c>
      <c r="G284" s="11" t="str">
        <f>'(FnCalls 1)'!F10</f>
        <v>MMM 2008</v>
      </c>
      <c r="H284" s="11" t="str">
        <f>'(FnCalls 1)'!F11</f>
        <v>MMM 2008</v>
      </c>
      <c r="I284" s="11" t="str">
        <f>'(FnCalls 1)'!F12</f>
        <v>MMM 2008</v>
      </c>
      <c r="J284" s="11" t="str">
        <f>'(FnCalls 1)'!F13</f>
        <v>MMM 2008</v>
      </c>
      <c r="K284" s="11" t="str">
        <f>'(FnCalls 1)'!F14</f>
        <v>MMM 2008</v>
      </c>
      <c r="L284" s="11" t="str">
        <f>'(FnCalls 1)'!F15</f>
        <v>MMM 2008</v>
      </c>
      <c r="M284" s="11" t="str">
        <f>'(FnCalls 1)'!F16</f>
        <v>MMM 2008</v>
      </c>
      <c r="N284" s="11" t="str">
        <f>'(FnCalls 1)'!F17</f>
        <v>MMM 2009</v>
      </c>
      <c r="O284" s="11" t="str">
        <f>'(FnCalls 1)'!F18</f>
        <v>MMM 2009</v>
      </c>
      <c r="P284" s="11" t="str">
        <f>'(FnCalls 1)'!F19</f>
        <v>MMM 2009</v>
      </c>
      <c r="Q284" s="11" t="str">
        <f>'(FnCalls 1)'!F20</f>
        <v>MMM 2009</v>
      </c>
      <c r="R284" s="11" t="str">
        <f>'(FnCalls 1)'!F21</f>
        <v>MMM 2009</v>
      </c>
      <c r="S284" s="11" t="str">
        <f>'(FnCalls 1)'!F22</f>
        <v>MMM 2009</v>
      </c>
      <c r="T284" s="11" t="str">
        <f>'(FnCalls 1)'!F23</f>
        <v>MMM 2009</v>
      </c>
      <c r="U284" s="11" t="str">
        <f>'(FnCalls 1)'!F24</f>
        <v>MMM 2009</v>
      </c>
      <c r="V284" s="11" t="str">
        <f>'(FnCalls 1)'!F25</f>
        <v>MMM 2009</v>
      </c>
      <c r="W284" s="11" t="str">
        <f>'(FnCalls 1)'!F26</f>
        <v>MMM 2009</v>
      </c>
      <c r="X284" s="11" t="str">
        <f>'(FnCalls 1)'!F27</f>
        <v>MMM 2009</v>
      </c>
      <c r="Y284" s="11" t="str">
        <f>'(FnCalls 1)'!F28</f>
        <v>MMM 2009</v>
      </c>
      <c r="Z284" s="11" t="str">
        <f>'(FnCalls 1)'!F29</f>
        <v>MMM 2010</v>
      </c>
      <c r="AA284" s="11" t="str">
        <f>'(FnCalls 1)'!F30</f>
        <v>MMM 2010</v>
      </c>
      <c r="AB284" s="11" t="str">
        <f>'(FnCalls 1)'!F31</f>
        <v>MMM 2010</v>
      </c>
      <c r="AC284" s="11" t="str">
        <f>'(FnCalls 1)'!F32</f>
        <v>MMM 2010</v>
      </c>
      <c r="AD284" s="11" t="str">
        <f>'(FnCalls 1)'!F33</f>
        <v>MMM 2010</v>
      </c>
      <c r="AE284" s="11" t="str">
        <f>'(FnCalls 1)'!F34</f>
        <v>MMM 2010</v>
      </c>
      <c r="AF284" s="11" t="str">
        <f>'(FnCalls 1)'!F35</f>
        <v>MMM 2010</v>
      </c>
      <c r="AG284" s="11" t="str">
        <f>'(FnCalls 1)'!F36</f>
        <v>MMM 2010</v>
      </c>
      <c r="AH284" s="11" t="str">
        <f>'(FnCalls 1)'!F37</f>
        <v>MMM 2010</v>
      </c>
      <c r="AI284" s="11" t="str">
        <f>'(FnCalls 1)'!F38</f>
        <v>MMM 2010</v>
      </c>
      <c r="AJ284" s="11" t="str">
        <f>'(FnCalls 1)'!F39</f>
        <v>MMM 2010</v>
      </c>
      <c r="AK284" s="11" t="str">
        <f>'(FnCalls 1)'!F40</f>
        <v>MMM 2010</v>
      </c>
      <c r="AL284" s="11" t="str">
        <f>'(FnCalls 1)'!F41</f>
        <v>MMM 2011</v>
      </c>
      <c r="AM284" s="11" t="str">
        <f>'(FnCalls 1)'!F42</f>
        <v>MMM 2011</v>
      </c>
      <c r="AN284" s="11" t="str">
        <f>'(FnCalls 1)'!F43</f>
        <v>MMM 2011</v>
      </c>
      <c r="AO284" s="11" t="str">
        <f>'(FnCalls 1)'!F44</f>
        <v>MMM 2011</v>
      </c>
      <c r="AP284" s="11" t="str">
        <f>'(FnCalls 1)'!F45</f>
        <v>MMM 2011</v>
      </c>
      <c r="AQ284" s="12" t="str">
        <f>'(FnCalls 1)'!F46</f>
        <v>MMM 2011</v>
      </c>
    </row>
    <row r="285" spans="1:43" ht="12.75" customHeight="1" x14ac:dyDescent="0.2">
      <c r="A285" s="128" t="str">
        <f>Labels!B186</f>
        <v>Asset 1</v>
      </c>
      <c r="B285" s="141">
        <f>IF(B277=-1,0,IF(B277=0,B216,0-B273))-B289</f>
        <v>0</v>
      </c>
      <c r="C285" s="141">
        <f>IF(C277=-1,0,IF(C277=0,B216,B285-C273))-C289</f>
        <v>0</v>
      </c>
      <c r="D285" s="141">
        <f>IF(D277=-1,0,IF(D277=0,B216,C285-D273))-D289</f>
        <v>0</v>
      </c>
      <c r="E285" s="141">
        <f>IF(E277=-1,0,IF(E277=0,B216,D285-E273))-E289</f>
        <v>0</v>
      </c>
      <c r="F285" s="141">
        <f>IF(F277=-1,0,IF(F277=0,B216,E285-F273))-F289</f>
        <v>0</v>
      </c>
      <c r="G285" s="141">
        <f>IF(G277=-1,0,IF(G277=0,B216,F285-G273))-G289</f>
        <v>0</v>
      </c>
      <c r="H285" s="141">
        <f>IF(H277=-1,0,IF(H277=0,B216,G285-H273))-H289</f>
        <v>0</v>
      </c>
      <c r="I285" s="141">
        <f>IF(I277=-1,0,IF(I277=0,B216,H285-I273))-I289</f>
        <v>0</v>
      </c>
      <c r="J285" s="141">
        <f>IF(J277=-1,0,IF(J277=0,B216,I285-J273))-J289</f>
        <v>0</v>
      </c>
      <c r="K285" s="141">
        <f>IF(K277=-1,0,IF(K277=0,B216,J285-K273))-K289</f>
        <v>0</v>
      </c>
      <c r="L285" s="141">
        <f>IF(L277=-1,0,IF(L277=0,B216,K285-L273))-L289</f>
        <v>0</v>
      </c>
      <c r="M285" s="141">
        <f>IF(M277=-1,0,IF(M277=0,B216,L285-M273))-M289</f>
        <v>0</v>
      </c>
      <c r="N285" s="141">
        <f>IF(N277=-1,0,IF(N277=0,B216,M285-N273))-N289</f>
        <v>0</v>
      </c>
      <c r="O285" s="141">
        <f>IF(O277=-1,0,IF(O277=0,B216,N285-O273))-O289</f>
        <v>0</v>
      </c>
      <c r="P285" s="141">
        <f>IF(P277=-1,0,IF(P277=0,B216,O285-P273))-P289</f>
        <v>0</v>
      </c>
      <c r="Q285" s="141">
        <f>IF(Q277=-1,0,IF(Q277=0,B216,P285-Q273))-Q289</f>
        <v>0</v>
      </c>
      <c r="R285" s="141">
        <f>IF(R277=-1,0,IF(R277=0,B216,Q285-R273))-R289</f>
        <v>0</v>
      </c>
      <c r="S285" s="141">
        <f>IF(S277=-1,0,IF(S277=0,B216,R285-S273))-S289</f>
        <v>0</v>
      </c>
      <c r="T285" s="141">
        <f>IF(T277=-1,0,IF(T277=0,B216,S285-T273))-T289</f>
        <v>0</v>
      </c>
      <c r="U285" s="141">
        <f>IF(U277=-1,0,IF(U277=0,B216,T285-U273))-U289</f>
        <v>0</v>
      </c>
      <c r="V285" s="141">
        <f>IF(V277=-1,0,IF(V277=0,B216,U285-V273))-V289</f>
        <v>0</v>
      </c>
      <c r="W285" s="141">
        <f>IF(W277=-1,0,IF(W277=0,B216,V285-W273))-W289</f>
        <v>0</v>
      </c>
      <c r="X285" s="141">
        <f>IF(X277=-1,0,IF(X277=0,B216,W285-X273))-X289</f>
        <v>0</v>
      </c>
      <c r="Y285" s="141">
        <f>IF(Y277=-1,0,IF(Y277=0,B216,X285-Y273))-Y289</f>
        <v>0</v>
      </c>
      <c r="Z285" s="141">
        <f>IF(Z277=-1,0,IF(Z277=0,B216,Y285-Z273))-Z289</f>
        <v>0</v>
      </c>
      <c r="AA285" s="141">
        <f>IF(AA277=-1,0,IF(AA277=0,B216,Z285-AA273))-AA289</f>
        <v>0</v>
      </c>
      <c r="AB285" s="141">
        <f>IF(AB277=-1,0,IF(AB277=0,B216,AA285-AB273))-AB289</f>
        <v>0</v>
      </c>
      <c r="AC285" s="141">
        <f>IF(AC277=-1,0,IF(AC277=0,B216,AB285-AC273))-AC289</f>
        <v>0</v>
      </c>
      <c r="AD285" s="141">
        <f>IF(AD277=-1,0,IF(AD277=0,B216,AC285-AD273))-AD289</f>
        <v>0</v>
      </c>
      <c r="AE285" s="141">
        <f>IF(AE277=-1,0,IF(AE277=0,B216,AD285-AE273))-AE289</f>
        <v>0</v>
      </c>
      <c r="AF285" s="141">
        <f>IF(AF277=-1,0,IF(AF277=0,B216,AE285-AF273))-AF289</f>
        <v>0</v>
      </c>
      <c r="AG285" s="141">
        <f>IF(AG277=-1,0,IF(AG277=0,B216,AF285-AG273))-AG289</f>
        <v>0</v>
      </c>
      <c r="AH285" s="141">
        <f>IF(AH277=-1,0,IF(AH277=0,B216,AG285-AH273))-AH289</f>
        <v>0</v>
      </c>
      <c r="AI285" s="141">
        <f>IF(AI277=-1,0,IF(AI277=0,B216,AH285-AI273))-AI289</f>
        <v>0</v>
      </c>
      <c r="AJ285" s="141">
        <f>IF(AJ277=-1,0,IF(AJ277=0,B216,AI285-AJ273))-AJ289</f>
        <v>0</v>
      </c>
      <c r="AK285" s="141">
        <f>IF(AK277=-1,0,IF(AK277=0,B216,AJ285-AK273))-AK289</f>
        <v>0</v>
      </c>
      <c r="AL285" s="141">
        <f>Assets!C50</f>
        <v>0</v>
      </c>
      <c r="AM285" s="141">
        <f>Assets!D50</f>
        <v>0</v>
      </c>
      <c r="AN285" s="141">
        <f>Assets!E50</f>
        <v>0</v>
      </c>
      <c r="AO285" s="141">
        <f>Assets!F50</f>
        <v>0</v>
      </c>
      <c r="AP285" s="141">
        <f>Assets!G50</f>
        <v>0</v>
      </c>
      <c r="AQ285" s="225">
        <f>Assets!H50</f>
        <v>0</v>
      </c>
    </row>
    <row r="286" spans="1:43" ht="12.75" customHeight="1" x14ac:dyDescent="0.2">
      <c r="A286" s="91" t="str">
        <f>Labels!C185</f>
        <v>Total</v>
      </c>
      <c r="B286" s="149">
        <f t="shared" ref="B286:AK286" si="56">B285</f>
        <v>0</v>
      </c>
      <c r="C286" s="149">
        <f t="shared" si="56"/>
        <v>0</v>
      </c>
      <c r="D286" s="149">
        <f t="shared" si="56"/>
        <v>0</v>
      </c>
      <c r="E286" s="149">
        <f t="shared" si="56"/>
        <v>0</v>
      </c>
      <c r="F286" s="149">
        <f t="shared" si="56"/>
        <v>0</v>
      </c>
      <c r="G286" s="149">
        <f t="shared" si="56"/>
        <v>0</v>
      </c>
      <c r="H286" s="149">
        <f t="shared" si="56"/>
        <v>0</v>
      </c>
      <c r="I286" s="149">
        <f t="shared" si="56"/>
        <v>0</v>
      </c>
      <c r="J286" s="149">
        <f t="shared" si="56"/>
        <v>0</v>
      </c>
      <c r="K286" s="149">
        <f t="shared" si="56"/>
        <v>0</v>
      </c>
      <c r="L286" s="149">
        <f t="shared" si="56"/>
        <v>0</v>
      </c>
      <c r="M286" s="149">
        <f t="shared" si="56"/>
        <v>0</v>
      </c>
      <c r="N286" s="149">
        <f t="shared" si="56"/>
        <v>0</v>
      </c>
      <c r="O286" s="149">
        <f t="shared" si="56"/>
        <v>0</v>
      </c>
      <c r="P286" s="149">
        <f t="shared" si="56"/>
        <v>0</v>
      </c>
      <c r="Q286" s="149">
        <f t="shared" si="56"/>
        <v>0</v>
      </c>
      <c r="R286" s="149">
        <f t="shared" si="56"/>
        <v>0</v>
      </c>
      <c r="S286" s="149">
        <f t="shared" si="56"/>
        <v>0</v>
      </c>
      <c r="T286" s="149">
        <f t="shared" si="56"/>
        <v>0</v>
      </c>
      <c r="U286" s="149">
        <f t="shared" si="56"/>
        <v>0</v>
      </c>
      <c r="V286" s="149">
        <f t="shared" si="56"/>
        <v>0</v>
      </c>
      <c r="W286" s="149">
        <f t="shared" si="56"/>
        <v>0</v>
      </c>
      <c r="X286" s="149">
        <f t="shared" si="56"/>
        <v>0</v>
      </c>
      <c r="Y286" s="149">
        <f t="shared" si="56"/>
        <v>0</v>
      </c>
      <c r="Z286" s="149">
        <f t="shared" si="56"/>
        <v>0</v>
      </c>
      <c r="AA286" s="149">
        <f t="shared" si="56"/>
        <v>0</v>
      </c>
      <c r="AB286" s="149">
        <f t="shared" si="56"/>
        <v>0</v>
      </c>
      <c r="AC286" s="149">
        <f t="shared" si="56"/>
        <v>0</v>
      </c>
      <c r="AD286" s="149">
        <f t="shared" si="56"/>
        <v>0</v>
      </c>
      <c r="AE286" s="149">
        <f t="shared" si="56"/>
        <v>0</v>
      </c>
      <c r="AF286" s="149">
        <f t="shared" si="56"/>
        <v>0</v>
      </c>
      <c r="AG286" s="149">
        <f t="shared" si="56"/>
        <v>0</v>
      </c>
      <c r="AH286" s="149">
        <f t="shared" si="56"/>
        <v>0</v>
      </c>
      <c r="AI286" s="149">
        <f t="shared" si="56"/>
        <v>0</v>
      </c>
      <c r="AJ286" s="149">
        <f t="shared" si="56"/>
        <v>0</v>
      </c>
      <c r="AK286" s="149">
        <f t="shared" si="56"/>
        <v>0</v>
      </c>
      <c r="AL286" s="149">
        <f>Assets!C50</f>
        <v>0</v>
      </c>
      <c r="AM286" s="149">
        <f>Assets!D50</f>
        <v>0</v>
      </c>
      <c r="AN286" s="149">
        <f>Assets!E50</f>
        <v>0</v>
      </c>
      <c r="AO286" s="149">
        <f>Assets!F50</f>
        <v>0</v>
      </c>
      <c r="AP286" s="149">
        <f>Assets!G50</f>
        <v>0</v>
      </c>
      <c r="AQ286" s="227">
        <f>Assets!H50</f>
        <v>0</v>
      </c>
    </row>
    <row r="287" spans="1:43" ht="12.75" customHeight="1" x14ac:dyDescent="0.2">
      <c r="A287" s="1" t="str">
        <f>Labels!B163</f>
        <v>Asset Salvage CF</v>
      </c>
    </row>
    <row r="288" spans="1:43" ht="12.75" customHeight="1" x14ac:dyDescent="0.2">
      <c r="B288" s="10" t="str">
        <f>'(FnCalls 1)'!F5</f>
        <v>MMM 2008</v>
      </c>
      <c r="C288" s="11" t="str">
        <f>'(FnCalls 1)'!F6</f>
        <v>MMM 2008</v>
      </c>
      <c r="D288" s="11" t="str">
        <f>'(FnCalls 1)'!F7</f>
        <v>MMM 2008</v>
      </c>
      <c r="E288" s="11" t="str">
        <f>'(FnCalls 1)'!F8</f>
        <v>MMM 2008</v>
      </c>
      <c r="F288" s="11" t="str">
        <f>'(FnCalls 1)'!F9</f>
        <v>MMM 2008</v>
      </c>
      <c r="G288" s="11" t="str">
        <f>'(FnCalls 1)'!F10</f>
        <v>MMM 2008</v>
      </c>
      <c r="H288" s="11" t="str">
        <f>'(FnCalls 1)'!F11</f>
        <v>MMM 2008</v>
      </c>
      <c r="I288" s="11" t="str">
        <f>'(FnCalls 1)'!F12</f>
        <v>MMM 2008</v>
      </c>
      <c r="J288" s="11" t="str">
        <f>'(FnCalls 1)'!F13</f>
        <v>MMM 2008</v>
      </c>
      <c r="K288" s="11" t="str">
        <f>'(FnCalls 1)'!F14</f>
        <v>MMM 2008</v>
      </c>
      <c r="L288" s="11" t="str">
        <f>'(FnCalls 1)'!F15</f>
        <v>MMM 2008</v>
      </c>
      <c r="M288" s="11" t="str">
        <f>'(FnCalls 1)'!F16</f>
        <v>MMM 2008</v>
      </c>
      <c r="N288" s="11" t="str">
        <f>'(FnCalls 1)'!F17</f>
        <v>MMM 2009</v>
      </c>
      <c r="O288" s="11" t="str">
        <f>'(FnCalls 1)'!F18</f>
        <v>MMM 2009</v>
      </c>
      <c r="P288" s="11" t="str">
        <f>'(FnCalls 1)'!F19</f>
        <v>MMM 2009</v>
      </c>
      <c r="Q288" s="11" t="str">
        <f>'(FnCalls 1)'!F20</f>
        <v>MMM 2009</v>
      </c>
      <c r="R288" s="11" t="str">
        <f>'(FnCalls 1)'!F21</f>
        <v>MMM 2009</v>
      </c>
      <c r="S288" s="11" t="str">
        <f>'(FnCalls 1)'!F22</f>
        <v>MMM 2009</v>
      </c>
      <c r="T288" s="11" t="str">
        <f>'(FnCalls 1)'!F23</f>
        <v>MMM 2009</v>
      </c>
      <c r="U288" s="11" t="str">
        <f>'(FnCalls 1)'!F24</f>
        <v>MMM 2009</v>
      </c>
      <c r="V288" s="11" t="str">
        <f>'(FnCalls 1)'!F25</f>
        <v>MMM 2009</v>
      </c>
      <c r="W288" s="11" t="str">
        <f>'(FnCalls 1)'!F26</f>
        <v>MMM 2009</v>
      </c>
      <c r="X288" s="11" t="str">
        <f>'(FnCalls 1)'!F27</f>
        <v>MMM 2009</v>
      </c>
      <c r="Y288" s="11" t="str">
        <f>'(FnCalls 1)'!F28</f>
        <v>MMM 2009</v>
      </c>
      <c r="Z288" s="11" t="str">
        <f>'(FnCalls 1)'!F29</f>
        <v>MMM 2010</v>
      </c>
      <c r="AA288" s="11" t="str">
        <f>'(FnCalls 1)'!F30</f>
        <v>MMM 2010</v>
      </c>
      <c r="AB288" s="11" t="str">
        <f>'(FnCalls 1)'!F31</f>
        <v>MMM 2010</v>
      </c>
      <c r="AC288" s="11" t="str">
        <f>'(FnCalls 1)'!F32</f>
        <v>MMM 2010</v>
      </c>
      <c r="AD288" s="11" t="str">
        <f>'(FnCalls 1)'!F33</f>
        <v>MMM 2010</v>
      </c>
      <c r="AE288" s="11" t="str">
        <f>'(FnCalls 1)'!F34</f>
        <v>MMM 2010</v>
      </c>
      <c r="AF288" s="11" t="str">
        <f>'(FnCalls 1)'!F35</f>
        <v>MMM 2010</v>
      </c>
      <c r="AG288" s="11" t="str">
        <f>'(FnCalls 1)'!F36</f>
        <v>MMM 2010</v>
      </c>
      <c r="AH288" s="11" t="str">
        <f>'(FnCalls 1)'!F37</f>
        <v>MMM 2010</v>
      </c>
      <c r="AI288" s="11" t="str">
        <f>'(FnCalls 1)'!F38</f>
        <v>MMM 2010</v>
      </c>
      <c r="AJ288" s="11" t="str">
        <f>'(FnCalls 1)'!F39</f>
        <v>MMM 2010</v>
      </c>
      <c r="AK288" s="11" t="str">
        <f>'(FnCalls 1)'!F40</f>
        <v>MMM 2010</v>
      </c>
      <c r="AL288" s="11" t="str">
        <f>'(FnCalls 1)'!F41</f>
        <v>MMM 2011</v>
      </c>
      <c r="AM288" s="11" t="str">
        <f>'(FnCalls 1)'!F42</f>
        <v>MMM 2011</v>
      </c>
      <c r="AN288" s="11" t="str">
        <f>'(FnCalls 1)'!F43</f>
        <v>MMM 2011</v>
      </c>
      <c r="AO288" s="11" t="str">
        <f>'(FnCalls 1)'!F44</f>
        <v>MMM 2011</v>
      </c>
      <c r="AP288" s="11" t="str">
        <f>'(FnCalls 1)'!F45</f>
        <v>MMM 2011</v>
      </c>
      <c r="AQ288" s="12" t="str">
        <f>'(FnCalls 1)'!F46</f>
        <v>MMM 2011</v>
      </c>
    </row>
    <row r="289" spans="1:43" ht="12.75" customHeight="1" x14ac:dyDescent="0.2">
      <c r="A289" s="128" t="str">
        <f>Labels!B186</f>
        <v>Asset 1</v>
      </c>
      <c r="B289" s="141">
        <f>IF(AND(DATE(YEAR('(FnCalls 1)'!A5),MONTH('(FnCalls 1)'!A5)+TRUNC((-B293)),DAY('(FnCalls 1)'!A5))&lt;=Inputs!E188,Inputs!E188&lt;DATE(YEAR('(FnCalls 1)'!A5),MONTH('(FnCalls 1)'!A5)+TRUNC(1-B293),DAY('(FnCalls 1)'!A5))),B228,0)</f>
        <v>0</v>
      </c>
      <c r="C289" s="141">
        <f>IF(AND(DATE(YEAR('(FnCalls 1)'!A6),MONTH('(FnCalls 1)'!A6)+TRUNC((-B293)),DAY('(FnCalls 1)'!A6))&lt;=Inputs!E188,Inputs!E188&lt;DATE(YEAR('(FnCalls 1)'!A6),MONTH('(FnCalls 1)'!A6)+TRUNC(1-B293),DAY('(FnCalls 1)'!A6))),B228,0)</f>
        <v>0</v>
      </c>
      <c r="D289" s="141">
        <f>IF(AND(DATE(YEAR('(FnCalls 1)'!A7),MONTH('(FnCalls 1)'!A7)+TRUNC((-B293)),DAY('(FnCalls 1)'!A7))&lt;=Inputs!E188,Inputs!E188&lt;DATE(YEAR('(FnCalls 1)'!A7),MONTH('(FnCalls 1)'!A7)+TRUNC(1-B293),DAY('(FnCalls 1)'!A7))),B228,0)</f>
        <v>0</v>
      </c>
      <c r="E289" s="141">
        <f>IF(AND(DATE(YEAR('(FnCalls 1)'!A8),MONTH('(FnCalls 1)'!A8)+TRUNC((-B293)),DAY('(FnCalls 1)'!A8))&lt;=Inputs!E188,Inputs!E188&lt;DATE(YEAR('(FnCalls 1)'!A8),MONTH('(FnCalls 1)'!A8)+TRUNC(1-B293),DAY('(FnCalls 1)'!A8))),B228,0)</f>
        <v>0</v>
      </c>
      <c r="F289" s="141">
        <f>IF(AND(DATE(YEAR('(FnCalls 1)'!A9),MONTH('(FnCalls 1)'!A9)+TRUNC((-B293)),DAY('(FnCalls 1)'!A9))&lt;=Inputs!E188,Inputs!E188&lt;DATE(YEAR('(FnCalls 1)'!A9),MONTH('(FnCalls 1)'!A9)+TRUNC(1-B293),DAY('(FnCalls 1)'!A9))),B228,0)</f>
        <v>0</v>
      </c>
      <c r="G289" s="141">
        <f>IF(AND(DATE(YEAR('(FnCalls 1)'!A10),MONTH('(FnCalls 1)'!A10)+TRUNC((-B293)),DAY('(FnCalls 1)'!A10))&lt;=Inputs!E188,Inputs!E188&lt;DATE(YEAR('(FnCalls 1)'!A10),MONTH('(FnCalls 1)'!A10)+TRUNC(1-B293),DAY('(FnCalls 1)'!A10))),B228,0)</f>
        <v>0</v>
      </c>
      <c r="H289" s="141">
        <f>IF(AND(DATE(YEAR('(FnCalls 1)'!A11),MONTH('(FnCalls 1)'!A11)+TRUNC((-B293)),DAY('(FnCalls 1)'!A11))&lt;=Inputs!E188,Inputs!E188&lt;DATE(YEAR('(FnCalls 1)'!A11),MONTH('(FnCalls 1)'!A11)+TRUNC(1-B293),DAY('(FnCalls 1)'!A11))),B228,0)</f>
        <v>0</v>
      </c>
      <c r="I289" s="141">
        <f>IF(AND(DATE(YEAR('(FnCalls 1)'!A12),MONTH('(FnCalls 1)'!A12)+TRUNC((-B293)),DAY('(FnCalls 1)'!A12))&lt;=Inputs!E188,Inputs!E188&lt;DATE(YEAR('(FnCalls 1)'!A12),MONTH('(FnCalls 1)'!A12)+TRUNC(1-B293),DAY('(FnCalls 1)'!A12))),B228,0)</f>
        <v>0</v>
      </c>
      <c r="J289" s="141">
        <f>IF(AND(DATE(YEAR('(FnCalls 1)'!A13),MONTH('(FnCalls 1)'!A13)+TRUNC((-B293)),DAY('(FnCalls 1)'!A13))&lt;=Inputs!E188,Inputs!E188&lt;DATE(YEAR('(FnCalls 1)'!A13),MONTH('(FnCalls 1)'!A13)+TRUNC(1-B293),DAY('(FnCalls 1)'!A13))),B228,0)</f>
        <v>0</v>
      </c>
      <c r="K289" s="141">
        <f>IF(AND(DATE(YEAR('(FnCalls 1)'!A14),MONTH('(FnCalls 1)'!A14)+TRUNC((-B293)),DAY('(FnCalls 1)'!A14))&lt;=Inputs!E188,Inputs!E188&lt;DATE(YEAR('(FnCalls 1)'!A14),MONTH('(FnCalls 1)'!A14)+TRUNC(1-B293),DAY('(FnCalls 1)'!A14))),B228,0)</f>
        <v>0</v>
      </c>
      <c r="L289" s="141">
        <f>IF(AND(DATE(YEAR('(FnCalls 1)'!A15),MONTH('(FnCalls 1)'!A15)+TRUNC((-B293)),DAY('(FnCalls 1)'!A15))&lt;=Inputs!E188,Inputs!E188&lt;DATE(YEAR('(FnCalls 1)'!A15),MONTH('(FnCalls 1)'!A15)+TRUNC(1-B293),DAY('(FnCalls 1)'!A15))),B228,0)</f>
        <v>0</v>
      </c>
      <c r="M289" s="141">
        <f>IF(AND(DATE(YEAR('(FnCalls 1)'!A16),MONTH('(FnCalls 1)'!A16)+TRUNC((-B293)),DAY('(FnCalls 1)'!A16))&lt;=Inputs!E188,Inputs!E188&lt;DATE(YEAR('(FnCalls 1)'!A16),MONTH('(FnCalls 1)'!A16)+TRUNC(1-B293),DAY('(FnCalls 1)'!A16))),B228,0)</f>
        <v>0</v>
      </c>
      <c r="N289" s="141">
        <f>IF(AND(DATE(YEAR('(FnCalls 1)'!A17),MONTH('(FnCalls 1)'!A17)+TRUNC((-B293)),DAY('(FnCalls 1)'!A17))&lt;=Inputs!E188,Inputs!E188&lt;DATE(YEAR('(FnCalls 1)'!A17),MONTH('(FnCalls 1)'!A17)+TRUNC(1-B293),DAY('(FnCalls 1)'!A17))),B228,0)</f>
        <v>0</v>
      </c>
      <c r="O289" s="141">
        <f>IF(AND(DATE(YEAR('(FnCalls 1)'!A18),MONTH('(FnCalls 1)'!A18)+TRUNC((-B293)),DAY('(FnCalls 1)'!A18))&lt;=Inputs!E188,Inputs!E188&lt;DATE(YEAR('(FnCalls 1)'!A18),MONTH('(FnCalls 1)'!A18)+TRUNC(1-B293),DAY('(FnCalls 1)'!A18))),B228,0)</f>
        <v>0</v>
      </c>
      <c r="P289" s="141">
        <f>IF(AND(DATE(YEAR('(FnCalls 1)'!A19),MONTH('(FnCalls 1)'!A19)+TRUNC((-B293)),DAY('(FnCalls 1)'!A19))&lt;=Inputs!E188,Inputs!E188&lt;DATE(YEAR('(FnCalls 1)'!A19),MONTH('(FnCalls 1)'!A19)+TRUNC(1-B293),DAY('(FnCalls 1)'!A19))),B228,0)</f>
        <v>0</v>
      </c>
      <c r="Q289" s="141">
        <f>IF(AND(DATE(YEAR('(FnCalls 1)'!A20),MONTH('(FnCalls 1)'!A20)+TRUNC((-B293)),DAY('(FnCalls 1)'!A20))&lt;=Inputs!E188,Inputs!E188&lt;DATE(YEAR('(FnCalls 1)'!A20),MONTH('(FnCalls 1)'!A20)+TRUNC(1-B293),DAY('(FnCalls 1)'!A20))),B228,0)</f>
        <v>0</v>
      </c>
      <c r="R289" s="141">
        <f>IF(AND(DATE(YEAR('(FnCalls 1)'!A21),MONTH('(FnCalls 1)'!A21)+TRUNC((-B293)),DAY('(FnCalls 1)'!A21))&lt;=Inputs!E188,Inputs!E188&lt;DATE(YEAR('(FnCalls 1)'!A21),MONTH('(FnCalls 1)'!A21)+TRUNC(1-B293),DAY('(FnCalls 1)'!A21))),B228,0)</f>
        <v>0</v>
      </c>
      <c r="S289" s="141">
        <f>IF(AND(DATE(YEAR('(FnCalls 1)'!A22),MONTH('(FnCalls 1)'!A22)+TRUNC((-B293)),DAY('(FnCalls 1)'!A22))&lt;=Inputs!E188,Inputs!E188&lt;DATE(YEAR('(FnCalls 1)'!A22),MONTH('(FnCalls 1)'!A22)+TRUNC(1-B293),DAY('(FnCalls 1)'!A22))),B228,0)</f>
        <v>0</v>
      </c>
      <c r="T289" s="141">
        <f>IF(AND(DATE(YEAR('(FnCalls 1)'!A23),MONTH('(FnCalls 1)'!A23)+TRUNC((-B293)),DAY('(FnCalls 1)'!A23))&lt;=Inputs!E188,Inputs!E188&lt;DATE(YEAR('(FnCalls 1)'!A23),MONTH('(FnCalls 1)'!A23)+TRUNC(1-B293),DAY('(FnCalls 1)'!A23))),B228,0)</f>
        <v>0</v>
      </c>
      <c r="U289" s="141">
        <f>IF(AND(DATE(YEAR('(FnCalls 1)'!A24),MONTH('(FnCalls 1)'!A24)+TRUNC((-B293)),DAY('(FnCalls 1)'!A24))&lt;=Inputs!E188,Inputs!E188&lt;DATE(YEAR('(FnCalls 1)'!A24),MONTH('(FnCalls 1)'!A24)+TRUNC(1-B293),DAY('(FnCalls 1)'!A24))),B228,0)</f>
        <v>0</v>
      </c>
      <c r="V289" s="141">
        <f>IF(AND(DATE(YEAR('(FnCalls 1)'!A25),MONTH('(FnCalls 1)'!A25)+TRUNC((-B293)),DAY('(FnCalls 1)'!A25))&lt;=Inputs!E188,Inputs!E188&lt;DATE(YEAR('(FnCalls 1)'!A25),MONTH('(FnCalls 1)'!A25)+TRUNC(1-B293),DAY('(FnCalls 1)'!A25))),B228,0)</f>
        <v>0</v>
      </c>
      <c r="W289" s="141">
        <f>IF(AND(DATE(YEAR('(FnCalls 1)'!A26),MONTH('(FnCalls 1)'!A26)+TRUNC((-B293)),DAY('(FnCalls 1)'!A26))&lt;=Inputs!E188,Inputs!E188&lt;DATE(YEAR('(FnCalls 1)'!A26),MONTH('(FnCalls 1)'!A26)+TRUNC(1-B293),DAY('(FnCalls 1)'!A26))),B228,0)</f>
        <v>0</v>
      </c>
      <c r="X289" s="141">
        <f>IF(AND(DATE(YEAR('(FnCalls 1)'!A27),MONTH('(FnCalls 1)'!A27)+TRUNC((-B293)),DAY('(FnCalls 1)'!A27))&lt;=Inputs!E188,Inputs!E188&lt;DATE(YEAR('(FnCalls 1)'!A27),MONTH('(FnCalls 1)'!A27)+TRUNC(1-B293),DAY('(FnCalls 1)'!A27))),B228,0)</f>
        <v>0</v>
      </c>
      <c r="Y289" s="141">
        <f>IF(AND(DATE(YEAR('(FnCalls 1)'!A28),MONTH('(FnCalls 1)'!A28)+TRUNC((-B293)),DAY('(FnCalls 1)'!A28))&lt;=Inputs!E188,Inputs!E188&lt;DATE(YEAR('(FnCalls 1)'!A28),MONTH('(FnCalls 1)'!A28)+TRUNC(1-B293),DAY('(FnCalls 1)'!A28))),B228,0)</f>
        <v>0</v>
      </c>
      <c r="Z289" s="141">
        <f>IF(AND(DATE(YEAR('(FnCalls 1)'!A29),MONTH('(FnCalls 1)'!A29)+TRUNC((-B293)),DAY('(FnCalls 1)'!A29))&lt;=Inputs!E188,Inputs!E188&lt;DATE(YEAR('(FnCalls 1)'!A29),MONTH('(FnCalls 1)'!A29)+TRUNC(1-B293),DAY('(FnCalls 1)'!A29))),B228,0)</f>
        <v>0</v>
      </c>
      <c r="AA289" s="141">
        <f>IF(AND(DATE(YEAR('(FnCalls 1)'!A30),MONTH('(FnCalls 1)'!A30)+TRUNC((-B293)),DAY('(FnCalls 1)'!A30))&lt;=Inputs!E188,Inputs!E188&lt;DATE(YEAR('(FnCalls 1)'!A30),MONTH('(FnCalls 1)'!A30)+TRUNC(1-B293),DAY('(FnCalls 1)'!A30))),B228,0)</f>
        <v>0</v>
      </c>
      <c r="AB289" s="141">
        <f>IF(AND(DATE(YEAR('(FnCalls 1)'!A31),MONTH('(FnCalls 1)'!A31)+TRUNC((-B293)),DAY('(FnCalls 1)'!A31))&lt;=Inputs!E188,Inputs!E188&lt;DATE(YEAR('(FnCalls 1)'!A31),MONTH('(FnCalls 1)'!A31)+TRUNC(1-B293),DAY('(FnCalls 1)'!A31))),B228,0)</f>
        <v>0</v>
      </c>
      <c r="AC289" s="141">
        <f>IF(AND(DATE(YEAR('(FnCalls 1)'!A32),MONTH('(FnCalls 1)'!A32)+TRUNC((-B293)),DAY('(FnCalls 1)'!A32))&lt;=Inputs!E188,Inputs!E188&lt;DATE(YEAR('(FnCalls 1)'!A32),MONTH('(FnCalls 1)'!A32)+TRUNC(1-B293),DAY('(FnCalls 1)'!A32))),B228,0)</f>
        <v>0</v>
      </c>
      <c r="AD289" s="141">
        <f>IF(AND(DATE(YEAR('(FnCalls 1)'!A33),MONTH('(FnCalls 1)'!A33)+TRUNC((-B293)),DAY('(FnCalls 1)'!A33))&lt;=Inputs!E188,Inputs!E188&lt;DATE(YEAR('(FnCalls 1)'!A33),MONTH('(FnCalls 1)'!A33)+TRUNC(1-B293),DAY('(FnCalls 1)'!A33))),B228,0)</f>
        <v>0</v>
      </c>
      <c r="AE289" s="141">
        <f>IF(AND(DATE(YEAR('(FnCalls 1)'!A34),MONTH('(FnCalls 1)'!A34)+TRUNC((-B293)),DAY('(FnCalls 1)'!A34))&lt;=Inputs!E188,Inputs!E188&lt;DATE(YEAR('(FnCalls 1)'!A34),MONTH('(FnCalls 1)'!A34)+TRUNC(1-B293),DAY('(FnCalls 1)'!A34))),B228,0)</f>
        <v>0</v>
      </c>
      <c r="AF289" s="141">
        <f>IF(AND(DATE(YEAR('(FnCalls 1)'!A35),MONTH('(FnCalls 1)'!A35)+TRUNC((-B293)),DAY('(FnCalls 1)'!A35))&lt;=Inputs!E188,Inputs!E188&lt;DATE(YEAR('(FnCalls 1)'!A35),MONTH('(FnCalls 1)'!A35)+TRUNC(1-B293),DAY('(FnCalls 1)'!A35))),B228,0)</f>
        <v>0</v>
      </c>
      <c r="AG289" s="141">
        <f>IF(AND(DATE(YEAR('(FnCalls 1)'!A36),MONTH('(FnCalls 1)'!A36)+TRUNC((-B293)),DAY('(FnCalls 1)'!A36))&lt;=Inputs!E188,Inputs!E188&lt;DATE(YEAR('(FnCalls 1)'!A36),MONTH('(FnCalls 1)'!A36)+TRUNC(1-B293),DAY('(FnCalls 1)'!A36))),B228,0)</f>
        <v>0</v>
      </c>
      <c r="AH289" s="141">
        <f>IF(AND(DATE(YEAR('(FnCalls 1)'!A37),MONTH('(FnCalls 1)'!A37)+TRUNC((-B293)),DAY('(FnCalls 1)'!A37))&lt;=Inputs!E188,Inputs!E188&lt;DATE(YEAR('(FnCalls 1)'!A37),MONTH('(FnCalls 1)'!A37)+TRUNC(1-B293),DAY('(FnCalls 1)'!A37))),B228,0)</f>
        <v>0</v>
      </c>
      <c r="AI289" s="141">
        <f>IF(AND(DATE(YEAR('(FnCalls 1)'!A38),MONTH('(FnCalls 1)'!A38)+TRUNC((-B293)),DAY('(FnCalls 1)'!A38))&lt;=Inputs!E188,Inputs!E188&lt;DATE(YEAR('(FnCalls 1)'!A38),MONTH('(FnCalls 1)'!A38)+TRUNC(1-B293),DAY('(FnCalls 1)'!A38))),B228,0)</f>
        <v>0</v>
      </c>
      <c r="AJ289" s="141">
        <f>IF(AND(DATE(YEAR('(FnCalls 1)'!A39),MONTH('(FnCalls 1)'!A39)+TRUNC((-B293)),DAY('(FnCalls 1)'!A39))&lt;=Inputs!E188,Inputs!E188&lt;DATE(YEAR('(FnCalls 1)'!A39),MONTH('(FnCalls 1)'!A39)+TRUNC(1-B293),DAY('(FnCalls 1)'!A39))),B228,0)</f>
        <v>0</v>
      </c>
      <c r="AK289" s="141">
        <f>IF(AND(DATE(YEAR('(FnCalls 1)'!A40),MONTH('(FnCalls 1)'!A40)+TRUNC((-B293)),DAY('(FnCalls 1)'!A40))&lt;=Inputs!E188,Inputs!E188&lt;DATE(YEAR('(FnCalls 1)'!A40),MONTH('(FnCalls 1)'!A40)+TRUNC(1-B293),DAY('(FnCalls 1)'!A40))),B228,0)</f>
        <v>0</v>
      </c>
      <c r="AL289" s="141">
        <f>Assets!C62</f>
        <v>0</v>
      </c>
      <c r="AM289" s="141">
        <f>Assets!D62</f>
        <v>0</v>
      </c>
      <c r="AN289" s="141">
        <f>Assets!E62</f>
        <v>0</v>
      </c>
      <c r="AO289" s="141">
        <f>Assets!F62</f>
        <v>0</v>
      </c>
      <c r="AP289" s="141">
        <f>Assets!G62</f>
        <v>0</v>
      </c>
      <c r="AQ289" s="225">
        <f>Assets!H62</f>
        <v>0</v>
      </c>
    </row>
    <row r="290" spans="1:43" ht="12.75" customHeight="1" x14ac:dyDescent="0.2">
      <c r="A290" s="91" t="str">
        <f>Labels!C185</f>
        <v>Total</v>
      </c>
      <c r="B290" s="149">
        <f t="shared" ref="B290:AK290" si="57">B289</f>
        <v>0</v>
      </c>
      <c r="C290" s="149">
        <f t="shared" si="57"/>
        <v>0</v>
      </c>
      <c r="D290" s="149">
        <f t="shared" si="57"/>
        <v>0</v>
      </c>
      <c r="E290" s="149">
        <f t="shared" si="57"/>
        <v>0</v>
      </c>
      <c r="F290" s="149">
        <f t="shared" si="57"/>
        <v>0</v>
      </c>
      <c r="G290" s="149">
        <f t="shared" si="57"/>
        <v>0</v>
      </c>
      <c r="H290" s="149">
        <f t="shared" si="57"/>
        <v>0</v>
      </c>
      <c r="I290" s="149">
        <f t="shared" si="57"/>
        <v>0</v>
      </c>
      <c r="J290" s="149">
        <f t="shared" si="57"/>
        <v>0</v>
      </c>
      <c r="K290" s="149">
        <f t="shared" si="57"/>
        <v>0</v>
      </c>
      <c r="L290" s="149">
        <f t="shared" si="57"/>
        <v>0</v>
      </c>
      <c r="M290" s="149">
        <f t="shared" si="57"/>
        <v>0</v>
      </c>
      <c r="N290" s="149">
        <f t="shared" si="57"/>
        <v>0</v>
      </c>
      <c r="O290" s="149">
        <f t="shared" si="57"/>
        <v>0</v>
      </c>
      <c r="P290" s="149">
        <f t="shared" si="57"/>
        <v>0</v>
      </c>
      <c r="Q290" s="149">
        <f t="shared" si="57"/>
        <v>0</v>
      </c>
      <c r="R290" s="149">
        <f t="shared" si="57"/>
        <v>0</v>
      </c>
      <c r="S290" s="149">
        <f t="shared" si="57"/>
        <v>0</v>
      </c>
      <c r="T290" s="149">
        <f t="shared" si="57"/>
        <v>0</v>
      </c>
      <c r="U290" s="149">
        <f t="shared" si="57"/>
        <v>0</v>
      </c>
      <c r="V290" s="149">
        <f t="shared" si="57"/>
        <v>0</v>
      </c>
      <c r="W290" s="149">
        <f t="shared" si="57"/>
        <v>0</v>
      </c>
      <c r="X290" s="149">
        <f t="shared" si="57"/>
        <v>0</v>
      </c>
      <c r="Y290" s="149">
        <f t="shared" si="57"/>
        <v>0</v>
      </c>
      <c r="Z290" s="149">
        <f t="shared" si="57"/>
        <v>0</v>
      </c>
      <c r="AA290" s="149">
        <f t="shared" si="57"/>
        <v>0</v>
      </c>
      <c r="AB290" s="149">
        <f t="shared" si="57"/>
        <v>0</v>
      </c>
      <c r="AC290" s="149">
        <f t="shared" si="57"/>
        <v>0</v>
      </c>
      <c r="AD290" s="149">
        <f t="shared" si="57"/>
        <v>0</v>
      </c>
      <c r="AE290" s="149">
        <f t="shared" si="57"/>
        <v>0</v>
      </c>
      <c r="AF290" s="149">
        <f t="shared" si="57"/>
        <v>0</v>
      </c>
      <c r="AG290" s="149">
        <f t="shared" si="57"/>
        <v>0</v>
      </c>
      <c r="AH290" s="149">
        <f t="shared" si="57"/>
        <v>0</v>
      </c>
      <c r="AI290" s="149">
        <f t="shared" si="57"/>
        <v>0</v>
      </c>
      <c r="AJ290" s="149">
        <f t="shared" si="57"/>
        <v>0</v>
      </c>
      <c r="AK290" s="149">
        <f t="shared" si="57"/>
        <v>0</v>
      </c>
      <c r="AL290" s="149">
        <f>Assets!C62</f>
        <v>0</v>
      </c>
      <c r="AM290" s="149">
        <f>Assets!D62</f>
        <v>0</v>
      </c>
      <c r="AN290" s="149">
        <f>Assets!E62</f>
        <v>0</v>
      </c>
      <c r="AO290" s="149">
        <f>Assets!F62</f>
        <v>0</v>
      </c>
      <c r="AP290" s="149">
        <f>Assets!G62</f>
        <v>0</v>
      </c>
      <c r="AQ290" s="227">
        <f>Assets!H62</f>
        <v>0</v>
      </c>
    </row>
    <row r="291" spans="1:43" ht="12.75" customHeight="1" x14ac:dyDescent="0.2">
      <c r="A291" s="1" t="str">
        <f>Labels!B158</f>
        <v>Physical Life (period)</v>
      </c>
    </row>
    <row r="292" spans="1:43" ht="12.75" customHeight="1" x14ac:dyDescent="0.2">
      <c r="B292" s="94"/>
    </row>
    <row r="293" spans="1:43" ht="12.75" customHeight="1" x14ac:dyDescent="0.2">
      <c r="A293" s="128" t="str">
        <f>Labels!B186</f>
        <v>Asset 1</v>
      </c>
      <c r="B293" s="263">
        <f>ROUND(12*B224,0)</f>
        <v>120</v>
      </c>
    </row>
    <row r="294" spans="1:43" ht="12.75" customHeight="1" x14ac:dyDescent="0.2">
      <c r="A294" s="91" t="str">
        <f>Labels!C185</f>
        <v>Total</v>
      </c>
      <c r="B294" s="262">
        <f>B293</f>
        <v>120</v>
      </c>
    </row>
    <row r="295" spans="1:43" ht="12.75" customHeight="1" x14ac:dyDescent="0.2">
      <c r="A295" s="1" t="str">
        <f>Labels!B100</f>
        <v>Loss Carry Forward</v>
      </c>
    </row>
    <row r="296" spans="1:43" ht="12.75" customHeight="1" x14ac:dyDescent="0.2">
      <c r="B296" s="10" t="str">
        <f>'(FnCalls 1)'!F40</f>
        <v>MMM 2010</v>
      </c>
      <c r="C296" s="11" t="str">
        <f>'(FnCalls 1)'!F41</f>
        <v>MMM 2011</v>
      </c>
      <c r="D296" s="11" t="str">
        <f>'(FnCalls 1)'!F42</f>
        <v>MMM 2011</v>
      </c>
      <c r="E296" s="11" t="str">
        <f>'(FnCalls 1)'!F43</f>
        <v>MMM 2011</v>
      </c>
      <c r="F296" s="11" t="str">
        <f>'(FnCalls 1)'!F44</f>
        <v>MMM 2011</v>
      </c>
      <c r="G296" s="11" t="str">
        <f>'(FnCalls 1)'!F45</f>
        <v>MMM 2011</v>
      </c>
      <c r="H296" s="12" t="str">
        <f>'(FnCalls 1)'!F46</f>
        <v>MMM 2011</v>
      </c>
    </row>
    <row r="297" spans="1:43" ht="12.75" customHeight="1" x14ac:dyDescent="0.2">
      <c r="A297" s="91"/>
      <c r="B297" s="149">
        <v>0</v>
      </c>
      <c r="C297" s="149">
        <f>FinTax!B25</f>
        <v>0</v>
      </c>
      <c r="D297" s="149">
        <f>FinTax!C25</f>
        <v>0</v>
      </c>
      <c r="E297" s="149">
        <f>FinTax!D25</f>
        <v>0</v>
      </c>
      <c r="F297" s="149">
        <f>FinTax!E25</f>
        <v>0</v>
      </c>
      <c r="G297" s="149">
        <f>FinTax!F25</f>
        <v>0</v>
      </c>
      <c r="H297" s="227">
        <f>FinTax!G25</f>
        <v>0</v>
      </c>
    </row>
    <row r="298" spans="1:43" ht="12.75" customHeight="1" x14ac:dyDescent="0.2">
      <c r="A298" s="1" t="str">
        <f>Labels!B30</f>
        <v>Chg Accts Pay</v>
      </c>
    </row>
    <row r="299" spans="1:43" ht="12.75" customHeight="1" x14ac:dyDescent="0.2">
      <c r="B299" s="10" t="str">
        <f>'(FnCalls 1)'!F41</f>
        <v>MMM 2011</v>
      </c>
      <c r="C299" s="11" t="str">
        <f>'(FnCalls 1)'!F42</f>
        <v>MMM 2011</v>
      </c>
      <c r="D299" s="11" t="str">
        <f>'(FnCalls 1)'!F43</f>
        <v>MMM 2011</v>
      </c>
      <c r="E299" s="11" t="str">
        <f>'(FnCalls 1)'!F44</f>
        <v>MMM 2011</v>
      </c>
      <c r="F299" s="11" t="str">
        <f>'(FnCalls 1)'!F45</f>
        <v>MMM 2011</v>
      </c>
      <c r="G299" s="12" t="str">
        <f>'(FnCalls 1)'!F46</f>
        <v>MMM 2011</v>
      </c>
    </row>
    <row r="300" spans="1:43" ht="12.75" customHeight="1" x14ac:dyDescent="0.2">
      <c r="A300" s="91"/>
      <c r="B300" s="149">
        <f>C306-'(Compute)'!B160</f>
        <v>0</v>
      </c>
      <c r="C300" s="149">
        <f>D306-'(Compute)'!C160</f>
        <v>0</v>
      </c>
      <c r="D300" s="149">
        <f>E306-'(Compute)'!D160</f>
        <v>0</v>
      </c>
      <c r="E300" s="149">
        <f>F306-'(Compute)'!E160</f>
        <v>0</v>
      </c>
      <c r="F300" s="149">
        <f>G306-'(Compute)'!F160</f>
        <v>0</v>
      </c>
      <c r="G300" s="227">
        <f>H306-'(Compute)'!G160</f>
        <v>0</v>
      </c>
    </row>
    <row r="301" spans="1:43" ht="12.75" customHeight="1" x14ac:dyDescent="0.2">
      <c r="A301" s="1" t="str">
        <f>Labels!B8</f>
        <v>Accts Payable</v>
      </c>
    </row>
    <row r="302" spans="1:43" ht="12.75" customHeight="1" x14ac:dyDescent="0.2">
      <c r="B302" s="10" t="str">
        <f>'(FnCalls 1)'!F40</f>
        <v>MMM 2010</v>
      </c>
      <c r="C302" s="11" t="str">
        <f>'(FnCalls 1)'!F41</f>
        <v>MMM 2011</v>
      </c>
      <c r="D302" s="11" t="str">
        <f>'(FnCalls 1)'!F42</f>
        <v>MMM 2011</v>
      </c>
      <c r="E302" s="11" t="str">
        <f>'(FnCalls 1)'!F43</f>
        <v>MMM 2011</v>
      </c>
      <c r="F302" s="11" t="str">
        <f>'(FnCalls 1)'!F44</f>
        <v>MMM 2011</v>
      </c>
      <c r="G302" s="11" t="str">
        <f>'(FnCalls 1)'!F45</f>
        <v>MMM 2011</v>
      </c>
      <c r="H302" s="12" t="str">
        <f>'(FnCalls 1)'!F46</f>
        <v>MMM 2011</v>
      </c>
    </row>
    <row r="303" spans="1:43" ht="12.75" customHeight="1" x14ac:dyDescent="0.2">
      <c r="A303" s="128" t="str">
        <f>Labels!B181</f>
        <v>Vendor Payables</v>
      </c>
      <c r="B303" s="141">
        <f>Inputs!D200</f>
        <v>0</v>
      </c>
      <c r="C303" s="141">
        <f>Liab!C9</f>
        <v>0</v>
      </c>
      <c r="D303" s="141">
        <f>Liab!D9</f>
        <v>0</v>
      </c>
      <c r="E303" s="141">
        <f>Liab!E9</f>
        <v>0</v>
      </c>
      <c r="F303" s="141">
        <f>Liab!F9</f>
        <v>0</v>
      </c>
      <c r="G303" s="141">
        <f>Liab!G9</f>
        <v>0</v>
      </c>
      <c r="H303" s="225">
        <f>Liab!H9</f>
        <v>0</v>
      </c>
    </row>
    <row r="304" spans="1:43" ht="12.75" customHeight="1" x14ac:dyDescent="0.2">
      <c r="A304" s="134" t="str">
        <f>Labels!B182</f>
        <v>Payroll Payables</v>
      </c>
      <c r="B304" s="145">
        <f>Inputs!D201</f>
        <v>0</v>
      </c>
      <c r="C304" s="145">
        <f>Liab!C10</f>
        <v>0</v>
      </c>
      <c r="D304" s="145">
        <f>Liab!D10</f>
        <v>0</v>
      </c>
      <c r="E304" s="145">
        <f>Liab!E10</f>
        <v>0</v>
      </c>
      <c r="F304" s="145">
        <f>Liab!F10</f>
        <v>0</v>
      </c>
      <c r="G304" s="145">
        <f>Liab!G10</f>
        <v>0</v>
      </c>
      <c r="H304" s="226">
        <f>Liab!H10</f>
        <v>0</v>
      </c>
    </row>
    <row r="305" spans="1:8" ht="12.75" customHeight="1" x14ac:dyDescent="0.2">
      <c r="A305" s="134" t="str">
        <f>Labels!B183</f>
        <v>Taxes Payable</v>
      </c>
      <c r="B305" s="145">
        <f>Inputs!D202</f>
        <v>0</v>
      </c>
      <c r="C305" s="145">
        <f>Liab!C11</f>
        <v>0</v>
      </c>
      <c r="D305" s="145">
        <f>Liab!D11</f>
        <v>0</v>
      </c>
      <c r="E305" s="145">
        <f>Liab!E11</f>
        <v>0</v>
      </c>
      <c r="F305" s="145">
        <f>Liab!F11</f>
        <v>0</v>
      </c>
      <c r="G305" s="145">
        <f>Liab!G11</f>
        <v>0</v>
      </c>
      <c r="H305" s="226">
        <f>Liab!H11</f>
        <v>0</v>
      </c>
    </row>
    <row r="306" spans="1:8" ht="12.75" customHeight="1" x14ac:dyDescent="0.2">
      <c r="A306" s="91" t="str">
        <f>Labels!C180</f>
        <v>Total</v>
      </c>
      <c r="B306" s="149">
        <f t="shared" ref="B306:H306" si="58">SUM(B303:B305)</f>
        <v>0</v>
      </c>
      <c r="C306" s="149">
        <f t="shared" si="58"/>
        <v>0</v>
      </c>
      <c r="D306" s="149">
        <f t="shared" si="58"/>
        <v>0</v>
      </c>
      <c r="E306" s="149">
        <f t="shared" si="58"/>
        <v>0</v>
      </c>
      <c r="F306" s="149">
        <f t="shared" si="58"/>
        <v>0</v>
      </c>
      <c r="G306" s="149">
        <f t="shared" si="58"/>
        <v>0</v>
      </c>
      <c r="H306" s="227">
        <f t="shared" si="58"/>
        <v>0</v>
      </c>
    </row>
    <row r="307" spans="1:8" ht="12.75" customHeight="1" x14ac:dyDescent="0.2">
      <c r="A307" s="1" t="str">
        <f>Labels!B54</f>
        <v>Direct Cost</v>
      </c>
    </row>
    <row r="308" spans="1:8" ht="12.75" customHeight="1" x14ac:dyDescent="0.2">
      <c r="B308" s="10" t="str">
        <f>'(FnCalls 1)'!F41</f>
        <v>MMM 2011</v>
      </c>
      <c r="C308" s="11" t="str">
        <f>'(FnCalls 1)'!F42</f>
        <v>MMM 2011</v>
      </c>
      <c r="D308" s="11" t="str">
        <f>'(FnCalls 1)'!F43</f>
        <v>MMM 2011</v>
      </c>
      <c r="E308" s="11" t="str">
        <f>'(FnCalls 1)'!F44</f>
        <v>MMM 2011</v>
      </c>
      <c r="F308" s="11" t="str">
        <f>'(FnCalls 1)'!F45</f>
        <v>MMM 2011</v>
      </c>
      <c r="G308" s="12" t="str">
        <f>'(FnCalls 1)'!F46</f>
        <v>MMM 2011</v>
      </c>
    </row>
    <row r="309" spans="1:8" ht="12.75" customHeight="1" x14ac:dyDescent="0.2">
      <c r="A309" s="128" t="str">
        <f>Labels!B255</f>
        <v>Product 1</v>
      </c>
      <c r="B309" s="141"/>
      <c r="C309" s="141"/>
      <c r="D309" s="141"/>
      <c r="E309" s="141"/>
      <c r="F309" s="141"/>
      <c r="G309" s="225"/>
    </row>
    <row r="310" spans="1:8" ht="12.75" customHeight="1" x14ac:dyDescent="0.2">
      <c r="A310" s="142" t="str">
        <f>"   "&amp;Labels!B217</f>
        <v xml:space="preserve">   Dir Material</v>
      </c>
      <c r="B310" s="143">
        <f>'Cogs GM'!B115+0/3+0/2</f>
        <v>0</v>
      </c>
      <c r="C310" s="143">
        <f>'Cogs GM'!C115+0/3+0/2</f>
        <v>0</v>
      </c>
      <c r="D310" s="143">
        <f>'Cogs GM'!D115+0/3+0/2</f>
        <v>0</v>
      </c>
      <c r="E310" s="143">
        <f>'Cogs GM'!E115+0/3+0/2</f>
        <v>0</v>
      </c>
      <c r="F310" s="143">
        <f>'Cogs GM'!F115+0/3+0/2</f>
        <v>0</v>
      </c>
      <c r="G310" s="246">
        <f>'Cogs GM'!G115+0/3+0/2</f>
        <v>0</v>
      </c>
    </row>
    <row r="311" spans="1:8" ht="12.75" customHeight="1" x14ac:dyDescent="0.2">
      <c r="A311" s="142" t="str">
        <f>"   "&amp;Labels!B218</f>
        <v xml:space="preserve">   Dir Labor</v>
      </c>
      <c r="B311" s="143">
        <f>'Cogs GM'!B116+0/3+0/2</f>
        <v>0</v>
      </c>
      <c r="C311" s="143">
        <f>'Cogs GM'!C116+0/3+0/2</f>
        <v>0</v>
      </c>
      <c r="D311" s="143">
        <f>'Cogs GM'!D116+0/3+0/2</f>
        <v>0</v>
      </c>
      <c r="E311" s="143">
        <f>'Cogs GM'!E116+0/3+0/2</f>
        <v>0</v>
      </c>
      <c r="F311" s="143">
        <f>'Cogs GM'!F116+0/3+0/2</f>
        <v>0</v>
      </c>
      <c r="G311" s="246">
        <f>'Cogs GM'!G116+0/3+0/2</f>
        <v>0</v>
      </c>
    </row>
    <row r="312" spans="1:8" ht="12.75" customHeight="1" x14ac:dyDescent="0.2">
      <c r="A312" s="142" t="str">
        <f>"   "&amp;Labels!B219</f>
        <v xml:space="preserve">   Dir Overhead</v>
      </c>
      <c r="B312" s="143">
        <f>'Cogs GM'!B117+0/3+0/2</f>
        <v>0</v>
      </c>
      <c r="C312" s="143">
        <f>'Cogs GM'!C117+0/3+0/2</f>
        <v>0</v>
      </c>
      <c r="D312" s="143">
        <f>'Cogs GM'!D117+0/3+0/2</f>
        <v>0</v>
      </c>
      <c r="E312" s="143">
        <f>'Cogs GM'!E117+0/3+0/2</f>
        <v>0</v>
      </c>
      <c r="F312" s="143">
        <f>'Cogs GM'!F117+0/3+0/2</f>
        <v>0</v>
      </c>
      <c r="G312" s="246">
        <f>'Cogs GM'!G117+0/3+0/2</f>
        <v>0</v>
      </c>
    </row>
    <row r="313" spans="1:8" ht="12.75" customHeight="1" x14ac:dyDescent="0.2">
      <c r="A313" s="134" t="str">
        <f>"   "&amp;Labels!C216</f>
        <v xml:space="preserve">   Total</v>
      </c>
      <c r="B313" s="145">
        <f t="shared" ref="B313:G313" si="59">SUM(B310:B312)</f>
        <v>0</v>
      </c>
      <c r="C313" s="145">
        <f t="shared" si="59"/>
        <v>0</v>
      </c>
      <c r="D313" s="145">
        <f t="shared" si="59"/>
        <v>0</v>
      </c>
      <c r="E313" s="145">
        <f t="shared" si="59"/>
        <v>0</v>
      </c>
      <c r="F313" s="145">
        <f t="shared" si="59"/>
        <v>0</v>
      </c>
      <c r="G313" s="226">
        <f t="shared" si="59"/>
        <v>0</v>
      </c>
    </row>
    <row r="314" spans="1:8" ht="12.75" customHeight="1" x14ac:dyDescent="0.2">
      <c r="A314" s="134" t="str">
        <f>Labels!B256</f>
        <v>Product 2</v>
      </c>
      <c r="B314" s="145"/>
      <c r="C314" s="145"/>
      <c r="D314" s="145"/>
      <c r="E314" s="145"/>
      <c r="F314" s="145"/>
      <c r="G314" s="226"/>
    </row>
    <row r="315" spans="1:8" ht="12.75" customHeight="1" x14ac:dyDescent="0.2">
      <c r="A315" s="142" t="str">
        <f>"   "&amp;Labels!B217</f>
        <v xml:space="preserve">   Dir Material</v>
      </c>
      <c r="B315" s="143">
        <f>'Cogs GM'!B120+0/3+0/2</f>
        <v>0</v>
      </c>
      <c r="C315" s="143">
        <f>'Cogs GM'!C120+0/3+0/2</f>
        <v>0</v>
      </c>
      <c r="D315" s="143">
        <f>'Cogs GM'!D120+0/3+0/2</f>
        <v>0</v>
      </c>
      <c r="E315" s="143">
        <f>'Cogs GM'!E120+0/3+0/2</f>
        <v>0</v>
      </c>
      <c r="F315" s="143">
        <f>'Cogs GM'!F120+0/3+0/2</f>
        <v>0</v>
      </c>
      <c r="G315" s="246">
        <f>'Cogs GM'!G120+0/3+0/2</f>
        <v>0</v>
      </c>
    </row>
    <row r="316" spans="1:8" ht="12.75" customHeight="1" x14ac:dyDescent="0.2">
      <c r="A316" s="142" t="str">
        <f>"   "&amp;Labels!B218</f>
        <v xml:space="preserve">   Dir Labor</v>
      </c>
      <c r="B316" s="143">
        <f>'Cogs GM'!B121+0/3+0/2</f>
        <v>0</v>
      </c>
      <c r="C316" s="143">
        <f>'Cogs GM'!C121+0/3+0/2</f>
        <v>0</v>
      </c>
      <c r="D316" s="143">
        <f>'Cogs GM'!D121+0/3+0/2</f>
        <v>0</v>
      </c>
      <c r="E316" s="143">
        <f>'Cogs GM'!E121+0/3+0/2</f>
        <v>0</v>
      </c>
      <c r="F316" s="143">
        <f>'Cogs GM'!F121+0/3+0/2</f>
        <v>0</v>
      </c>
      <c r="G316" s="246">
        <f>'Cogs GM'!G121+0/3+0/2</f>
        <v>0</v>
      </c>
    </row>
    <row r="317" spans="1:8" ht="12.75" customHeight="1" x14ac:dyDescent="0.2">
      <c r="A317" s="142" t="str">
        <f>"   "&amp;Labels!B219</f>
        <v xml:space="preserve">   Dir Overhead</v>
      </c>
      <c r="B317" s="143">
        <f>'Cogs GM'!B122+0/3+0/2</f>
        <v>0</v>
      </c>
      <c r="C317" s="143">
        <f>'Cogs GM'!C122+0/3+0/2</f>
        <v>0</v>
      </c>
      <c r="D317" s="143">
        <f>'Cogs GM'!D122+0/3+0/2</f>
        <v>0</v>
      </c>
      <c r="E317" s="143">
        <f>'Cogs GM'!E122+0/3+0/2</f>
        <v>0</v>
      </c>
      <c r="F317" s="143">
        <f>'Cogs GM'!F122+0/3+0/2</f>
        <v>0</v>
      </c>
      <c r="G317" s="246">
        <f>'Cogs GM'!G122+0/3+0/2</f>
        <v>0</v>
      </c>
    </row>
    <row r="318" spans="1:8" ht="12.75" customHeight="1" x14ac:dyDescent="0.2">
      <c r="A318" s="134" t="str">
        <f>"   "&amp;Labels!C216</f>
        <v xml:space="preserve">   Total</v>
      </c>
      <c r="B318" s="145">
        <f t="shared" ref="B318:G318" si="60">SUM(B315:B317)</f>
        <v>0</v>
      </c>
      <c r="C318" s="145">
        <f t="shared" si="60"/>
        <v>0</v>
      </c>
      <c r="D318" s="145">
        <f t="shared" si="60"/>
        <v>0</v>
      </c>
      <c r="E318" s="145">
        <f t="shared" si="60"/>
        <v>0</v>
      </c>
      <c r="F318" s="145">
        <f t="shared" si="60"/>
        <v>0</v>
      </c>
      <c r="G318" s="226">
        <f t="shared" si="60"/>
        <v>0</v>
      </c>
    </row>
    <row r="319" spans="1:8" ht="12.75" customHeight="1" x14ac:dyDescent="0.2">
      <c r="A319" s="91" t="str">
        <f>Labels!C254</f>
        <v>Total</v>
      </c>
      <c r="B319" s="149">
        <f t="shared" ref="B319:G319" si="61">SUM(B313,B318)</f>
        <v>0</v>
      </c>
      <c r="C319" s="149">
        <f t="shared" si="61"/>
        <v>0</v>
      </c>
      <c r="D319" s="149">
        <f t="shared" si="61"/>
        <v>0</v>
      </c>
      <c r="E319" s="149">
        <f t="shared" si="61"/>
        <v>0</v>
      </c>
      <c r="F319" s="149">
        <f t="shared" si="61"/>
        <v>0</v>
      </c>
      <c r="G319" s="227">
        <f t="shared" si="61"/>
        <v>0</v>
      </c>
    </row>
    <row r="320" spans="1:8" ht="12.75" customHeight="1" x14ac:dyDescent="0.2">
      <c r="A320" s="142" t="str">
        <f>"   "&amp;Labels!B217</f>
        <v xml:space="preserve">   Dir Material</v>
      </c>
      <c r="B320" s="143">
        <f t="shared" ref="B320:G323" si="62">SUM(B310,B315)</f>
        <v>0</v>
      </c>
      <c r="C320" s="143">
        <f t="shared" si="62"/>
        <v>0</v>
      </c>
      <c r="D320" s="143">
        <f t="shared" si="62"/>
        <v>0</v>
      </c>
      <c r="E320" s="143">
        <f t="shared" si="62"/>
        <v>0</v>
      </c>
      <c r="F320" s="143">
        <f t="shared" si="62"/>
        <v>0</v>
      </c>
      <c r="G320" s="246">
        <f t="shared" si="62"/>
        <v>0</v>
      </c>
    </row>
    <row r="321" spans="1:43" ht="12.75" customHeight="1" x14ac:dyDescent="0.2">
      <c r="A321" s="142" t="str">
        <f>"   "&amp;Labels!B218</f>
        <v xml:space="preserve">   Dir Labor</v>
      </c>
      <c r="B321" s="143">
        <f t="shared" si="62"/>
        <v>0</v>
      </c>
      <c r="C321" s="143">
        <f t="shared" si="62"/>
        <v>0</v>
      </c>
      <c r="D321" s="143">
        <f t="shared" si="62"/>
        <v>0</v>
      </c>
      <c r="E321" s="143">
        <f t="shared" si="62"/>
        <v>0</v>
      </c>
      <c r="F321" s="143">
        <f t="shared" si="62"/>
        <v>0</v>
      </c>
      <c r="G321" s="246">
        <f t="shared" si="62"/>
        <v>0</v>
      </c>
    </row>
    <row r="322" spans="1:43" ht="12.75" customHeight="1" x14ac:dyDescent="0.2">
      <c r="A322" s="142" t="str">
        <f>"   "&amp;Labels!B219</f>
        <v xml:space="preserve">   Dir Overhead</v>
      </c>
      <c r="B322" s="143">
        <f t="shared" si="62"/>
        <v>0</v>
      </c>
      <c r="C322" s="143">
        <f t="shared" si="62"/>
        <v>0</v>
      </c>
      <c r="D322" s="143">
        <f t="shared" si="62"/>
        <v>0</v>
      </c>
      <c r="E322" s="143">
        <f t="shared" si="62"/>
        <v>0</v>
      </c>
      <c r="F322" s="143">
        <f t="shared" si="62"/>
        <v>0</v>
      </c>
      <c r="G322" s="246">
        <f t="shared" si="62"/>
        <v>0</v>
      </c>
    </row>
    <row r="323" spans="1:43" ht="12.75" customHeight="1" x14ac:dyDescent="0.2">
      <c r="A323" s="131" t="str">
        <f>"   "&amp;Labels!C216</f>
        <v xml:space="preserve">   Total</v>
      </c>
      <c r="B323" s="127">
        <f t="shared" si="62"/>
        <v>0</v>
      </c>
      <c r="C323" s="127">
        <f t="shared" si="62"/>
        <v>0</v>
      </c>
      <c r="D323" s="127">
        <f t="shared" si="62"/>
        <v>0</v>
      </c>
      <c r="E323" s="127">
        <f t="shared" si="62"/>
        <v>0</v>
      </c>
      <c r="F323" s="127">
        <f t="shared" si="62"/>
        <v>0</v>
      </c>
      <c r="G323" s="247">
        <f t="shared" si="62"/>
        <v>0</v>
      </c>
    </row>
    <row r="324" spans="1:43" ht="12.75" customHeight="1" x14ac:dyDescent="0.2">
      <c r="A324" s="1" t="str">
        <f>Labels!B97</f>
        <v>Long Asset Purch</v>
      </c>
    </row>
    <row r="325" spans="1:43" ht="12.75" customHeight="1" x14ac:dyDescent="0.2">
      <c r="B325" s="10" t="str">
        <f>'(FnCalls 1)'!F40</f>
        <v>MMM 2010</v>
      </c>
      <c r="C325" s="11" t="str">
        <f>'(FnCalls 1)'!F41</f>
        <v>MMM 2011</v>
      </c>
      <c r="D325" s="11" t="str">
        <f>'(FnCalls 1)'!F42</f>
        <v>MMM 2011</v>
      </c>
      <c r="E325" s="11" t="str">
        <f>'(FnCalls 1)'!F43</f>
        <v>MMM 2011</v>
      </c>
      <c r="F325" s="11" t="str">
        <f>'(FnCalls 1)'!F44</f>
        <v>MMM 2011</v>
      </c>
      <c r="G325" s="11" t="str">
        <f>'(FnCalls 1)'!F45</f>
        <v>MMM 2011</v>
      </c>
      <c r="H325" s="12" t="str">
        <f>'(FnCalls 1)'!F46</f>
        <v>MMM 2011</v>
      </c>
    </row>
    <row r="326" spans="1:43" ht="12.75" customHeight="1" x14ac:dyDescent="0.2">
      <c r="A326" s="91"/>
      <c r="B326" s="149">
        <f>0+AK330</f>
        <v>0</v>
      </c>
      <c r="C326" s="149">
        <f>Assets!C41</f>
        <v>0</v>
      </c>
      <c r="D326" s="149">
        <f>Assets!D41</f>
        <v>0</v>
      </c>
      <c r="E326" s="149">
        <f>Assets!E41</f>
        <v>0</v>
      </c>
      <c r="F326" s="149">
        <f>Assets!F41</f>
        <v>0</v>
      </c>
      <c r="G326" s="149">
        <f>Assets!G41</f>
        <v>0</v>
      </c>
      <c r="H326" s="227">
        <f>Assets!H41</f>
        <v>0</v>
      </c>
    </row>
    <row r="327" spans="1:43" ht="12.75" customHeight="1" x14ac:dyDescent="0.2">
      <c r="A327" s="1" t="str">
        <f>Labels!B161</f>
        <v>Tagged Asset Purch</v>
      </c>
    </row>
    <row r="328" spans="1:43" ht="12.75" customHeight="1" x14ac:dyDescent="0.2">
      <c r="B328" s="10" t="str">
        <f>'(FnCalls 1)'!F5</f>
        <v>MMM 2008</v>
      </c>
      <c r="C328" s="11" t="str">
        <f>'(FnCalls 1)'!F6</f>
        <v>MMM 2008</v>
      </c>
      <c r="D328" s="11" t="str">
        <f>'(FnCalls 1)'!F7</f>
        <v>MMM 2008</v>
      </c>
      <c r="E328" s="11" t="str">
        <f>'(FnCalls 1)'!F8</f>
        <v>MMM 2008</v>
      </c>
      <c r="F328" s="11" t="str">
        <f>'(FnCalls 1)'!F9</f>
        <v>MMM 2008</v>
      </c>
      <c r="G328" s="11" t="str">
        <f>'(FnCalls 1)'!F10</f>
        <v>MMM 2008</v>
      </c>
      <c r="H328" s="11" t="str">
        <f>'(FnCalls 1)'!F11</f>
        <v>MMM 2008</v>
      </c>
      <c r="I328" s="11" t="str">
        <f>'(FnCalls 1)'!F12</f>
        <v>MMM 2008</v>
      </c>
      <c r="J328" s="11" t="str">
        <f>'(FnCalls 1)'!F13</f>
        <v>MMM 2008</v>
      </c>
      <c r="K328" s="11" t="str">
        <f>'(FnCalls 1)'!F14</f>
        <v>MMM 2008</v>
      </c>
      <c r="L328" s="11" t="str">
        <f>'(FnCalls 1)'!F15</f>
        <v>MMM 2008</v>
      </c>
      <c r="M328" s="11" t="str">
        <f>'(FnCalls 1)'!F16</f>
        <v>MMM 2008</v>
      </c>
      <c r="N328" s="11" t="str">
        <f>'(FnCalls 1)'!F17</f>
        <v>MMM 2009</v>
      </c>
      <c r="O328" s="11" t="str">
        <f>'(FnCalls 1)'!F18</f>
        <v>MMM 2009</v>
      </c>
      <c r="P328" s="11" t="str">
        <f>'(FnCalls 1)'!F19</f>
        <v>MMM 2009</v>
      </c>
      <c r="Q328" s="11" t="str">
        <f>'(FnCalls 1)'!F20</f>
        <v>MMM 2009</v>
      </c>
      <c r="R328" s="11" t="str">
        <f>'(FnCalls 1)'!F21</f>
        <v>MMM 2009</v>
      </c>
      <c r="S328" s="11" t="str">
        <f>'(FnCalls 1)'!F22</f>
        <v>MMM 2009</v>
      </c>
      <c r="T328" s="11" t="str">
        <f>'(FnCalls 1)'!F23</f>
        <v>MMM 2009</v>
      </c>
      <c r="U328" s="11" t="str">
        <f>'(FnCalls 1)'!F24</f>
        <v>MMM 2009</v>
      </c>
      <c r="V328" s="11" t="str">
        <f>'(FnCalls 1)'!F25</f>
        <v>MMM 2009</v>
      </c>
      <c r="W328" s="11" t="str">
        <f>'(FnCalls 1)'!F26</f>
        <v>MMM 2009</v>
      </c>
      <c r="X328" s="11" t="str">
        <f>'(FnCalls 1)'!F27</f>
        <v>MMM 2009</v>
      </c>
      <c r="Y328" s="11" t="str">
        <f>'(FnCalls 1)'!F28</f>
        <v>MMM 2009</v>
      </c>
      <c r="Z328" s="11" t="str">
        <f>'(FnCalls 1)'!F29</f>
        <v>MMM 2010</v>
      </c>
      <c r="AA328" s="11" t="str">
        <f>'(FnCalls 1)'!F30</f>
        <v>MMM 2010</v>
      </c>
      <c r="AB328" s="11" t="str">
        <f>'(FnCalls 1)'!F31</f>
        <v>MMM 2010</v>
      </c>
      <c r="AC328" s="11" t="str">
        <f>'(FnCalls 1)'!F32</f>
        <v>MMM 2010</v>
      </c>
      <c r="AD328" s="11" t="str">
        <f>'(FnCalls 1)'!F33</f>
        <v>MMM 2010</v>
      </c>
      <c r="AE328" s="11" t="str">
        <f>'(FnCalls 1)'!F34</f>
        <v>MMM 2010</v>
      </c>
      <c r="AF328" s="11" t="str">
        <f>'(FnCalls 1)'!F35</f>
        <v>MMM 2010</v>
      </c>
      <c r="AG328" s="11" t="str">
        <f>'(FnCalls 1)'!F36</f>
        <v>MMM 2010</v>
      </c>
      <c r="AH328" s="11" t="str">
        <f>'(FnCalls 1)'!F37</f>
        <v>MMM 2010</v>
      </c>
      <c r="AI328" s="11" t="str">
        <f>'(FnCalls 1)'!F38</f>
        <v>MMM 2010</v>
      </c>
      <c r="AJ328" s="11" t="str">
        <f>'(FnCalls 1)'!F39</f>
        <v>MMM 2010</v>
      </c>
      <c r="AK328" s="11" t="str">
        <f>'(FnCalls 1)'!F40</f>
        <v>MMM 2010</v>
      </c>
      <c r="AL328" s="11" t="str">
        <f>'(FnCalls 1)'!F41</f>
        <v>MMM 2011</v>
      </c>
      <c r="AM328" s="11" t="str">
        <f>'(FnCalls 1)'!F42</f>
        <v>MMM 2011</v>
      </c>
      <c r="AN328" s="11" t="str">
        <f>'(FnCalls 1)'!F43</f>
        <v>MMM 2011</v>
      </c>
      <c r="AO328" s="11" t="str">
        <f>'(FnCalls 1)'!F44</f>
        <v>MMM 2011</v>
      </c>
      <c r="AP328" s="11" t="str">
        <f>'(FnCalls 1)'!F45</f>
        <v>MMM 2011</v>
      </c>
      <c r="AQ328" s="12" t="str">
        <f>'(FnCalls 1)'!F46</f>
        <v>MMM 2011</v>
      </c>
    </row>
    <row r="329" spans="1:43" ht="12.75" customHeight="1" x14ac:dyDescent="0.2">
      <c r="A329" s="128" t="str">
        <f>Labels!B186</f>
        <v>Asset 1</v>
      </c>
      <c r="B329" s="141">
        <f>IF(AND('(FnCalls 1)'!A5&lt;=Inputs!E188,Inputs!E188&lt;='(FnCalls 1)'!A6-1),B216,0)</f>
        <v>0</v>
      </c>
      <c r="C329" s="141">
        <f>IF(AND('(FnCalls 1)'!A6&lt;=Inputs!E188,Inputs!E188&lt;='(FnCalls 1)'!A7-1),B216,0)</f>
        <v>0</v>
      </c>
      <c r="D329" s="141">
        <f>IF(AND('(FnCalls 1)'!A7&lt;=Inputs!E188,Inputs!E188&lt;='(FnCalls 1)'!A8-1),B216,0)</f>
        <v>0</v>
      </c>
      <c r="E329" s="141">
        <f>IF(AND('(FnCalls 1)'!A8&lt;=Inputs!E188,Inputs!E188&lt;='(FnCalls 1)'!A9-1),B216,0)</f>
        <v>0</v>
      </c>
      <c r="F329" s="141">
        <f>IF(AND('(FnCalls 1)'!A9&lt;=Inputs!E188,Inputs!E188&lt;='(FnCalls 1)'!A10-1),B216,0)</f>
        <v>0</v>
      </c>
      <c r="G329" s="141">
        <f>IF(AND('(FnCalls 1)'!A10&lt;=Inputs!E188,Inputs!E188&lt;='(FnCalls 1)'!A11-1),B216,0)</f>
        <v>0</v>
      </c>
      <c r="H329" s="141">
        <f>IF(AND('(FnCalls 1)'!A11&lt;=Inputs!E188,Inputs!E188&lt;='(FnCalls 1)'!A12-1),B216,0)</f>
        <v>0</v>
      </c>
      <c r="I329" s="141">
        <f>IF(AND('(FnCalls 1)'!A12&lt;=Inputs!E188,Inputs!E188&lt;='(FnCalls 1)'!A13-1),B216,0)</f>
        <v>0</v>
      </c>
      <c r="J329" s="141">
        <f>IF(AND('(FnCalls 1)'!A13&lt;=Inputs!E188,Inputs!E188&lt;='(FnCalls 1)'!A14-1),B216,0)</f>
        <v>0</v>
      </c>
      <c r="K329" s="141">
        <f>IF(AND('(FnCalls 1)'!A14&lt;=Inputs!E188,Inputs!E188&lt;='(FnCalls 1)'!A15-1),B216,0)</f>
        <v>0</v>
      </c>
      <c r="L329" s="141">
        <f>IF(AND('(FnCalls 1)'!A15&lt;=Inputs!E188,Inputs!E188&lt;='(FnCalls 1)'!A16-1),B216,0)</f>
        <v>0</v>
      </c>
      <c r="M329" s="141">
        <f>IF(AND('(FnCalls 1)'!A16&lt;=Inputs!E188,Inputs!E188&lt;='(FnCalls 1)'!A17-1),B216,0)</f>
        <v>0</v>
      </c>
      <c r="N329" s="141">
        <f>IF(AND('(FnCalls 1)'!A17&lt;=Inputs!E188,Inputs!E188&lt;='(FnCalls 1)'!A18-1),B216,0)</f>
        <v>0</v>
      </c>
      <c r="O329" s="141">
        <f>IF(AND('(FnCalls 1)'!A18&lt;=Inputs!E188,Inputs!E188&lt;='(FnCalls 1)'!A19-1),B216,0)</f>
        <v>0</v>
      </c>
      <c r="P329" s="141">
        <f>IF(AND('(FnCalls 1)'!A19&lt;=Inputs!E188,Inputs!E188&lt;='(FnCalls 1)'!A20-1),B216,0)</f>
        <v>0</v>
      </c>
      <c r="Q329" s="141">
        <f>IF(AND('(FnCalls 1)'!A20&lt;=Inputs!E188,Inputs!E188&lt;='(FnCalls 1)'!A21-1),B216,0)</f>
        <v>0</v>
      </c>
      <c r="R329" s="141">
        <f>IF(AND('(FnCalls 1)'!A21&lt;=Inputs!E188,Inputs!E188&lt;='(FnCalls 1)'!A22-1),B216,0)</f>
        <v>0</v>
      </c>
      <c r="S329" s="141">
        <f>IF(AND('(FnCalls 1)'!A22&lt;=Inputs!E188,Inputs!E188&lt;='(FnCalls 1)'!A23-1),B216,0)</f>
        <v>0</v>
      </c>
      <c r="T329" s="141">
        <f>IF(AND('(FnCalls 1)'!A23&lt;=Inputs!E188,Inputs!E188&lt;='(FnCalls 1)'!A24-1),B216,0)</f>
        <v>0</v>
      </c>
      <c r="U329" s="141">
        <f>IF(AND('(FnCalls 1)'!A24&lt;=Inputs!E188,Inputs!E188&lt;='(FnCalls 1)'!A25-1),B216,0)</f>
        <v>0</v>
      </c>
      <c r="V329" s="141">
        <f>IF(AND('(FnCalls 1)'!A25&lt;=Inputs!E188,Inputs!E188&lt;='(FnCalls 1)'!A26-1),B216,0)</f>
        <v>0</v>
      </c>
      <c r="W329" s="141">
        <f>IF(AND('(FnCalls 1)'!A26&lt;=Inputs!E188,Inputs!E188&lt;='(FnCalls 1)'!A27-1),B216,0)</f>
        <v>0</v>
      </c>
      <c r="X329" s="141">
        <f>IF(AND('(FnCalls 1)'!A27&lt;=Inputs!E188,Inputs!E188&lt;='(FnCalls 1)'!A28-1),B216,0)</f>
        <v>0</v>
      </c>
      <c r="Y329" s="141">
        <f>IF(AND('(FnCalls 1)'!A28&lt;=Inputs!E188,Inputs!E188&lt;='(FnCalls 1)'!A29-1),B216,0)</f>
        <v>0</v>
      </c>
      <c r="Z329" s="141">
        <f>IF(AND('(FnCalls 1)'!A29&lt;=Inputs!E188,Inputs!E188&lt;='(FnCalls 1)'!A30-1),B216,0)</f>
        <v>0</v>
      </c>
      <c r="AA329" s="141">
        <f>IF(AND('(FnCalls 1)'!A30&lt;=Inputs!E188,Inputs!E188&lt;='(FnCalls 1)'!A31-1),B216,0)</f>
        <v>0</v>
      </c>
      <c r="AB329" s="141">
        <f>IF(AND('(FnCalls 1)'!A31&lt;=Inputs!E188,Inputs!E188&lt;='(FnCalls 1)'!A32-1),B216,0)</f>
        <v>0</v>
      </c>
      <c r="AC329" s="141">
        <f>IF(AND('(FnCalls 1)'!A32&lt;=Inputs!E188,Inputs!E188&lt;='(FnCalls 1)'!A33-1),B216,0)</f>
        <v>0</v>
      </c>
      <c r="AD329" s="141">
        <f>IF(AND('(FnCalls 1)'!A33&lt;=Inputs!E188,Inputs!E188&lt;='(FnCalls 1)'!A34-1),B216,0)</f>
        <v>0</v>
      </c>
      <c r="AE329" s="141">
        <f>IF(AND('(FnCalls 1)'!A34&lt;=Inputs!E188,Inputs!E188&lt;='(FnCalls 1)'!A35-1),B216,0)</f>
        <v>0</v>
      </c>
      <c r="AF329" s="141">
        <f>IF(AND('(FnCalls 1)'!A35&lt;=Inputs!E188,Inputs!E188&lt;='(FnCalls 1)'!A36-1),B216,0)</f>
        <v>0</v>
      </c>
      <c r="AG329" s="141">
        <f>IF(AND('(FnCalls 1)'!A36&lt;=Inputs!E188,Inputs!E188&lt;='(FnCalls 1)'!A37-1),B216,0)</f>
        <v>0</v>
      </c>
      <c r="AH329" s="141">
        <f>IF(AND('(FnCalls 1)'!A37&lt;=Inputs!E188,Inputs!E188&lt;='(FnCalls 1)'!A38-1),B216,0)</f>
        <v>0</v>
      </c>
      <c r="AI329" s="141">
        <f>IF(AND('(FnCalls 1)'!A38&lt;=Inputs!E188,Inputs!E188&lt;='(FnCalls 1)'!A39-1),B216,0)</f>
        <v>0</v>
      </c>
      <c r="AJ329" s="141">
        <f>IF(AND('(FnCalls 1)'!A39&lt;=Inputs!E188,Inputs!E188&lt;='(FnCalls 1)'!A40-1),B216,0)</f>
        <v>0</v>
      </c>
      <c r="AK329" s="141">
        <f>IF(AND('(FnCalls 1)'!A40&lt;=Inputs!E188,Inputs!E188&lt;='(FnCalls 1)'!A41-1),B216,0)</f>
        <v>0</v>
      </c>
      <c r="AL329" s="141">
        <f>Assets!C54</f>
        <v>0</v>
      </c>
      <c r="AM329" s="141">
        <f>Assets!D54</f>
        <v>0</v>
      </c>
      <c r="AN329" s="141">
        <f>Assets!E54</f>
        <v>0</v>
      </c>
      <c r="AO329" s="141">
        <f>Assets!F54</f>
        <v>0</v>
      </c>
      <c r="AP329" s="141">
        <f>Assets!G54</f>
        <v>0</v>
      </c>
      <c r="AQ329" s="225">
        <f>Assets!H54</f>
        <v>0</v>
      </c>
    </row>
    <row r="330" spans="1:43" ht="12.75" customHeight="1" x14ac:dyDescent="0.2">
      <c r="A330" s="91" t="str">
        <f>Labels!C185</f>
        <v>Total</v>
      </c>
      <c r="B330" s="149">
        <f t="shared" ref="B330:AK330" si="63">B329</f>
        <v>0</v>
      </c>
      <c r="C330" s="149">
        <f t="shared" si="63"/>
        <v>0</v>
      </c>
      <c r="D330" s="149">
        <f t="shared" si="63"/>
        <v>0</v>
      </c>
      <c r="E330" s="149">
        <f t="shared" si="63"/>
        <v>0</v>
      </c>
      <c r="F330" s="149">
        <f t="shared" si="63"/>
        <v>0</v>
      </c>
      <c r="G330" s="149">
        <f t="shared" si="63"/>
        <v>0</v>
      </c>
      <c r="H330" s="149">
        <f t="shared" si="63"/>
        <v>0</v>
      </c>
      <c r="I330" s="149">
        <f t="shared" si="63"/>
        <v>0</v>
      </c>
      <c r="J330" s="149">
        <f t="shared" si="63"/>
        <v>0</v>
      </c>
      <c r="K330" s="149">
        <f t="shared" si="63"/>
        <v>0</v>
      </c>
      <c r="L330" s="149">
        <f t="shared" si="63"/>
        <v>0</v>
      </c>
      <c r="M330" s="149">
        <f t="shared" si="63"/>
        <v>0</v>
      </c>
      <c r="N330" s="149">
        <f t="shared" si="63"/>
        <v>0</v>
      </c>
      <c r="O330" s="149">
        <f t="shared" si="63"/>
        <v>0</v>
      </c>
      <c r="P330" s="149">
        <f t="shared" si="63"/>
        <v>0</v>
      </c>
      <c r="Q330" s="149">
        <f t="shared" si="63"/>
        <v>0</v>
      </c>
      <c r="R330" s="149">
        <f t="shared" si="63"/>
        <v>0</v>
      </c>
      <c r="S330" s="149">
        <f t="shared" si="63"/>
        <v>0</v>
      </c>
      <c r="T330" s="149">
        <f t="shared" si="63"/>
        <v>0</v>
      </c>
      <c r="U330" s="149">
        <f t="shared" si="63"/>
        <v>0</v>
      </c>
      <c r="V330" s="149">
        <f t="shared" si="63"/>
        <v>0</v>
      </c>
      <c r="W330" s="149">
        <f t="shared" si="63"/>
        <v>0</v>
      </c>
      <c r="X330" s="149">
        <f t="shared" si="63"/>
        <v>0</v>
      </c>
      <c r="Y330" s="149">
        <f t="shared" si="63"/>
        <v>0</v>
      </c>
      <c r="Z330" s="149">
        <f t="shared" si="63"/>
        <v>0</v>
      </c>
      <c r="AA330" s="149">
        <f t="shared" si="63"/>
        <v>0</v>
      </c>
      <c r="AB330" s="149">
        <f t="shared" si="63"/>
        <v>0</v>
      </c>
      <c r="AC330" s="149">
        <f t="shared" si="63"/>
        <v>0</v>
      </c>
      <c r="AD330" s="149">
        <f t="shared" si="63"/>
        <v>0</v>
      </c>
      <c r="AE330" s="149">
        <f t="shared" si="63"/>
        <v>0</v>
      </c>
      <c r="AF330" s="149">
        <f t="shared" si="63"/>
        <v>0</v>
      </c>
      <c r="AG330" s="149">
        <f t="shared" si="63"/>
        <v>0</v>
      </c>
      <c r="AH330" s="149">
        <f t="shared" si="63"/>
        <v>0</v>
      </c>
      <c r="AI330" s="149">
        <f t="shared" si="63"/>
        <v>0</v>
      </c>
      <c r="AJ330" s="149">
        <f t="shared" si="63"/>
        <v>0</v>
      </c>
      <c r="AK330" s="149">
        <f t="shared" si="63"/>
        <v>0</v>
      </c>
      <c r="AL330" s="149">
        <f>Assets!C54</f>
        <v>0</v>
      </c>
      <c r="AM330" s="149">
        <f>Assets!D54</f>
        <v>0</v>
      </c>
      <c r="AN330" s="149">
        <f>Assets!E54</f>
        <v>0</v>
      </c>
      <c r="AO330" s="149">
        <f>Assets!F54</f>
        <v>0</v>
      </c>
      <c r="AP330" s="149">
        <f>Assets!G54</f>
        <v>0</v>
      </c>
      <c r="AQ330" s="227">
        <f>Assets!H54</f>
        <v>0</v>
      </c>
    </row>
    <row r="331" spans="1:43" ht="12.75" customHeight="1" x14ac:dyDescent="0.2">
      <c r="A331" s="1" t="str">
        <f>Labels!B35</f>
        <v>Chg Long Debt</v>
      </c>
    </row>
    <row r="332" spans="1:43" ht="12.75" customHeight="1" x14ac:dyDescent="0.2">
      <c r="B332" s="10" t="str">
        <f>'(FnCalls 1)'!F41</f>
        <v>MMM 2011</v>
      </c>
      <c r="C332" s="11" t="str">
        <f>'(FnCalls 1)'!F42</f>
        <v>MMM 2011</v>
      </c>
      <c r="D332" s="11" t="str">
        <f>'(FnCalls 1)'!F43</f>
        <v>MMM 2011</v>
      </c>
      <c r="E332" s="11" t="str">
        <f>'(FnCalls 1)'!F44</f>
        <v>MMM 2011</v>
      </c>
      <c r="F332" s="11" t="str">
        <f>'(FnCalls 1)'!F45</f>
        <v>MMM 2011</v>
      </c>
      <c r="G332" s="12" t="str">
        <f>'(FnCalls 1)'!F46</f>
        <v>MMM 2011</v>
      </c>
    </row>
    <row r="333" spans="1:43" ht="12.75" customHeight="1" x14ac:dyDescent="0.2">
      <c r="A333" s="91"/>
      <c r="B333" s="149">
        <f>Inputs!E218-Inputs!D218</f>
        <v>0</v>
      </c>
      <c r="C333" s="149">
        <f>Inputs!F218-Inputs!E218</f>
        <v>0</v>
      </c>
      <c r="D333" s="149">
        <f>Inputs!G218-Inputs!F218</f>
        <v>0</v>
      </c>
      <c r="E333" s="149">
        <f>Inputs!H218-Inputs!G218</f>
        <v>0</v>
      </c>
      <c r="F333" s="149">
        <f>Inputs!I218-Inputs!H218</f>
        <v>0</v>
      </c>
      <c r="G333" s="227">
        <f>Inputs!J218-Inputs!I218</f>
        <v>0</v>
      </c>
    </row>
    <row r="334" spans="1:43" ht="12.75" customHeight="1" x14ac:dyDescent="0.2">
      <c r="A334" s="1" t="str">
        <f>Labels!B31</f>
        <v>Chg Accts Rec</v>
      </c>
    </row>
    <row r="335" spans="1:43" ht="12.75" customHeight="1" x14ac:dyDescent="0.2">
      <c r="B335" s="10" t="str">
        <f>'(FnCalls 1)'!F41</f>
        <v>MMM 2011</v>
      </c>
      <c r="C335" s="11" t="str">
        <f>'(FnCalls 1)'!F42</f>
        <v>MMM 2011</v>
      </c>
      <c r="D335" s="11" t="str">
        <f>'(FnCalls 1)'!F43</f>
        <v>MMM 2011</v>
      </c>
      <c r="E335" s="11" t="str">
        <f>'(FnCalls 1)'!F44</f>
        <v>MMM 2011</v>
      </c>
      <c r="F335" s="11" t="str">
        <f>'(FnCalls 1)'!F45</f>
        <v>MMM 2011</v>
      </c>
      <c r="G335" s="12" t="str">
        <f>'(FnCalls 1)'!F46</f>
        <v>MMM 2011</v>
      </c>
    </row>
    <row r="336" spans="1:43" ht="12.75" customHeight="1" x14ac:dyDescent="0.2">
      <c r="A336" s="91"/>
      <c r="B336" s="149">
        <f t="shared" ref="B336:G336" si="64">C256-B256</f>
        <v>0</v>
      </c>
      <c r="C336" s="149">
        <f t="shared" si="64"/>
        <v>0</v>
      </c>
      <c r="D336" s="149">
        <f t="shared" si="64"/>
        <v>0</v>
      </c>
      <c r="E336" s="149">
        <f t="shared" si="64"/>
        <v>0</v>
      </c>
      <c r="F336" s="149">
        <f t="shared" si="64"/>
        <v>0</v>
      </c>
      <c r="G336" s="227">
        <f t="shared" si="64"/>
        <v>0</v>
      </c>
    </row>
    <row r="337" spans="1:8" ht="12.75" customHeight="1" x14ac:dyDescent="0.2">
      <c r="A337" s="1" t="str">
        <f>Labels!B34</f>
        <v>Chg Inventory</v>
      </c>
    </row>
    <row r="338" spans="1:8" ht="12.75" customHeight="1" x14ac:dyDescent="0.2">
      <c r="B338" s="10" t="str">
        <f>'(FnCalls 1)'!F41</f>
        <v>MMM 2011</v>
      </c>
      <c r="C338" s="11" t="str">
        <f>'(FnCalls 1)'!F42</f>
        <v>MMM 2011</v>
      </c>
      <c r="D338" s="11" t="str">
        <f>'(FnCalls 1)'!F43</f>
        <v>MMM 2011</v>
      </c>
      <c r="E338" s="11" t="str">
        <f>'(FnCalls 1)'!F44</f>
        <v>MMM 2011</v>
      </c>
      <c r="F338" s="11" t="str">
        <f>'(FnCalls 1)'!F45</f>
        <v>MMM 2011</v>
      </c>
      <c r="G338" s="12" t="str">
        <f>'(FnCalls 1)'!F46</f>
        <v>MMM 2011</v>
      </c>
    </row>
    <row r="339" spans="1:8" ht="12.75" customHeight="1" x14ac:dyDescent="0.2">
      <c r="A339" s="91"/>
      <c r="B339" s="149">
        <f>C344+C347-'(Compute)'!B178-'(Compute)'!B181</f>
        <v>0</v>
      </c>
      <c r="C339" s="149">
        <f>D344+D347-'(Compute)'!C178-'(Compute)'!C181</f>
        <v>0</v>
      </c>
      <c r="D339" s="149">
        <f>E344+E347-'(Compute)'!D178-'(Compute)'!D181</f>
        <v>0</v>
      </c>
      <c r="E339" s="149">
        <f>F344+F347-'(Compute)'!E178-'(Compute)'!E181</f>
        <v>0</v>
      </c>
      <c r="F339" s="149">
        <f>G344+G347-'(Compute)'!F178-'(Compute)'!F181</f>
        <v>0</v>
      </c>
      <c r="G339" s="227">
        <f>H344+H347-'(Compute)'!G178-'(Compute)'!G181</f>
        <v>0</v>
      </c>
    </row>
    <row r="340" spans="1:8" ht="12.75" customHeight="1" x14ac:dyDescent="0.2">
      <c r="A340" s="1" t="str">
        <f>Labels!B85</f>
        <v>Finished Inventory Value</v>
      </c>
    </row>
    <row r="341" spans="1:8" ht="12.75" customHeight="1" x14ac:dyDescent="0.2">
      <c r="B341" s="10" t="str">
        <f>'(FnCalls 1)'!F40</f>
        <v>MMM 2010</v>
      </c>
      <c r="C341" s="11" t="str">
        <f>'(FnCalls 1)'!F41</f>
        <v>MMM 2011</v>
      </c>
      <c r="D341" s="11" t="str">
        <f>'(FnCalls 1)'!F42</f>
        <v>MMM 2011</v>
      </c>
      <c r="E341" s="11" t="str">
        <f>'(FnCalls 1)'!F43</f>
        <v>MMM 2011</v>
      </c>
      <c r="F341" s="11" t="str">
        <f>'(FnCalls 1)'!F44</f>
        <v>MMM 2011</v>
      </c>
      <c r="G341" s="11" t="str">
        <f>'(FnCalls 1)'!F45</f>
        <v>MMM 2011</v>
      </c>
      <c r="H341" s="12" t="str">
        <f>'(FnCalls 1)'!F46</f>
        <v>MMM 2011</v>
      </c>
    </row>
    <row r="342" spans="1:8" ht="12.75" customHeight="1" x14ac:dyDescent="0.2">
      <c r="A342" s="128" t="str">
        <f>Labels!B255</f>
        <v>Product 1</v>
      </c>
      <c r="B342" s="141">
        <f>Inputs!D165</f>
        <v>0</v>
      </c>
      <c r="C342" s="141">
        <f>Assets!C23</f>
        <v>0</v>
      </c>
      <c r="D342" s="141">
        <f>Assets!D23</f>
        <v>0</v>
      </c>
      <c r="E342" s="141">
        <f>Assets!E23</f>
        <v>0</v>
      </c>
      <c r="F342" s="141">
        <f>Assets!F23</f>
        <v>0</v>
      </c>
      <c r="G342" s="141">
        <f>Assets!G23</f>
        <v>0</v>
      </c>
      <c r="H342" s="225">
        <f>Assets!H23</f>
        <v>0</v>
      </c>
    </row>
    <row r="343" spans="1:8" ht="12.75" customHeight="1" x14ac:dyDescent="0.2">
      <c r="A343" s="134" t="str">
        <f>Labels!B256</f>
        <v>Product 2</v>
      </c>
      <c r="B343" s="145">
        <f>Inputs!D166</f>
        <v>0</v>
      </c>
      <c r="C343" s="145">
        <f>Assets!C27</f>
        <v>0</v>
      </c>
      <c r="D343" s="145">
        <f>Assets!D27</f>
        <v>0</v>
      </c>
      <c r="E343" s="145">
        <f>Assets!E27</f>
        <v>0</v>
      </c>
      <c r="F343" s="145">
        <f>Assets!F27</f>
        <v>0</v>
      </c>
      <c r="G343" s="145">
        <f>Assets!G27</f>
        <v>0</v>
      </c>
      <c r="H343" s="226">
        <f>Assets!H27</f>
        <v>0</v>
      </c>
    </row>
    <row r="344" spans="1:8" ht="12.75" customHeight="1" x14ac:dyDescent="0.2">
      <c r="A344" s="91" t="str">
        <f>Labels!C254</f>
        <v>Total</v>
      </c>
      <c r="B344" s="149">
        <f t="shared" ref="B344:H344" si="65">SUM(B342:B343)</f>
        <v>0</v>
      </c>
      <c r="C344" s="149">
        <f t="shared" si="65"/>
        <v>0</v>
      </c>
      <c r="D344" s="149">
        <f t="shared" si="65"/>
        <v>0</v>
      </c>
      <c r="E344" s="149">
        <f t="shared" si="65"/>
        <v>0</v>
      </c>
      <c r="F344" s="149">
        <f t="shared" si="65"/>
        <v>0</v>
      </c>
      <c r="G344" s="149">
        <f t="shared" si="65"/>
        <v>0</v>
      </c>
      <c r="H344" s="227">
        <f t="shared" si="65"/>
        <v>0</v>
      </c>
    </row>
    <row r="345" spans="1:8" ht="12.75" customHeight="1" x14ac:dyDescent="0.2">
      <c r="A345" s="1" t="str">
        <f>Labels!B91</f>
        <v>Raw Matl Inventory</v>
      </c>
    </row>
    <row r="346" spans="1:8" ht="12.75" customHeight="1" x14ac:dyDescent="0.2">
      <c r="B346" s="10" t="str">
        <f>'(FnCalls 1)'!F40</f>
        <v>MMM 2010</v>
      </c>
      <c r="C346" s="11" t="str">
        <f>'(FnCalls 1)'!F41</f>
        <v>MMM 2011</v>
      </c>
      <c r="D346" s="11" t="str">
        <f>'(FnCalls 1)'!F42</f>
        <v>MMM 2011</v>
      </c>
      <c r="E346" s="11" t="str">
        <f>'(FnCalls 1)'!F43</f>
        <v>MMM 2011</v>
      </c>
      <c r="F346" s="11" t="str">
        <f>'(FnCalls 1)'!F44</f>
        <v>MMM 2011</v>
      </c>
      <c r="G346" s="11" t="str">
        <f>'(FnCalls 1)'!F45</f>
        <v>MMM 2011</v>
      </c>
      <c r="H346" s="12" t="str">
        <f>'(FnCalls 1)'!F46</f>
        <v>MMM 2011</v>
      </c>
    </row>
    <row r="347" spans="1:8" ht="12.75" customHeight="1" x14ac:dyDescent="0.2">
      <c r="A347" s="91"/>
      <c r="B347" s="149">
        <f>B350*Inputs!D54</f>
        <v>0</v>
      </c>
      <c r="C347" s="149">
        <f>Assets!C15</f>
        <v>0</v>
      </c>
      <c r="D347" s="149">
        <f>Assets!D15</f>
        <v>0</v>
      </c>
      <c r="E347" s="149">
        <f>Assets!E15</f>
        <v>0</v>
      </c>
      <c r="F347" s="149">
        <f>Assets!F15</f>
        <v>0</v>
      </c>
      <c r="G347" s="149">
        <f>Assets!G15</f>
        <v>0</v>
      </c>
      <c r="H347" s="227">
        <f>Assets!H15</f>
        <v>0</v>
      </c>
    </row>
    <row r="348" spans="1:8" ht="12.75" customHeight="1" x14ac:dyDescent="0.2">
      <c r="A348" s="1" t="str">
        <f>Labels!B93</f>
        <v>Raw Matl Inventory Units</v>
      </c>
    </row>
    <row r="349" spans="1:8" ht="12.75" customHeight="1" x14ac:dyDescent="0.2">
      <c r="B349" s="10" t="str">
        <f>'(FnCalls 1)'!F40</f>
        <v>MMM 2010</v>
      </c>
      <c r="C349" s="11" t="str">
        <f>'(FnCalls 1)'!F41</f>
        <v>MMM 2011</v>
      </c>
      <c r="D349" s="11" t="str">
        <f>'(FnCalls 1)'!F42</f>
        <v>MMM 2011</v>
      </c>
      <c r="E349" s="11" t="str">
        <f>'(FnCalls 1)'!F43</f>
        <v>MMM 2011</v>
      </c>
      <c r="F349" s="11" t="str">
        <f>'(FnCalls 1)'!F44</f>
        <v>MMM 2011</v>
      </c>
      <c r="G349" s="11" t="str">
        <f>'(FnCalls 1)'!F45</f>
        <v>MMM 2011</v>
      </c>
      <c r="H349" s="12" t="str">
        <f>'(FnCalls 1)'!F46</f>
        <v>MMM 2011</v>
      </c>
    </row>
    <row r="350" spans="1:8" ht="12.75" customHeight="1" x14ac:dyDescent="0.2">
      <c r="A350" s="91"/>
      <c r="B350" s="149">
        <f>Inputs!D162</f>
        <v>0</v>
      </c>
      <c r="C350" s="149">
        <f>B350+B353-'(Compute)'!C173</f>
        <v>0</v>
      </c>
      <c r="D350" s="149">
        <f>C350+C353-'(Compute)'!D173</f>
        <v>0</v>
      </c>
      <c r="E350" s="149">
        <f>D350+D353-'(Compute)'!E173</f>
        <v>0</v>
      </c>
      <c r="F350" s="149">
        <f>E350+E353-'(Compute)'!F173</f>
        <v>0</v>
      </c>
      <c r="G350" s="149">
        <f>F350+F353-'(Compute)'!G173</f>
        <v>0</v>
      </c>
      <c r="H350" s="227">
        <f>G350+G353-'(Compute)'!H173</f>
        <v>0</v>
      </c>
    </row>
    <row r="351" spans="1:8" ht="12.75" customHeight="1" x14ac:dyDescent="0.2">
      <c r="A351" s="1" t="str">
        <f>Labels!B122</f>
        <v>Purchases Raw Matl U</v>
      </c>
    </row>
    <row r="352" spans="1:8" ht="12.75" customHeight="1" x14ac:dyDescent="0.2">
      <c r="B352" s="10" t="str">
        <f>'(FnCalls 1)'!F41</f>
        <v>MMM 2011</v>
      </c>
      <c r="C352" s="11" t="str">
        <f>'(FnCalls 1)'!F42</f>
        <v>MMM 2011</v>
      </c>
      <c r="D352" s="11" t="str">
        <f>'(FnCalls 1)'!F43</f>
        <v>MMM 2011</v>
      </c>
      <c r="E352" s="11" t="str">
        <f>'(FnCalls 1)'!F44</f>
        <v>MMM 2011</v>
      </c>
      <c r="F352" s="11" t="str">
        <f>'(FnCalls 1)'!F45</f>
        <v>MMM 2011</v>
      </c>
      <c r="G352" s="12" t="str">
        <f>'(FnCalls 1)'!F46</f>
        <v>MMM 2011</v>
      </c>
    </row>
    <row r="353" spans="1:8" ht="12.75" customHeight="1" x14ac:dyDescent="0.2">
      <c r="A353" s="91"/>
      <c r="B353" s="231">
        <f>IF(B350-B356&gt;=C359,0,MAX(0,C359-B350))</f>
        <v>0</v>
      </c>
      <c r="C353" s="231">
        <f>IF(C350-C356&gt;=D359,0,MAX(0,D359-C350))</f>
        <v>0</v>
      </c>
      <c r="D353" s="231">
        <f>IF(D350-D356&gt;=E359,0,MAX(0,E359-D350))</f>
        <v>0</v>
      </c>
      <c r="E353" s="231">
        <f>IF(E350-E356&gt;=F359,0,MAX(0,F359-E350))</f>
        <v>0</v>
      </c>
      <c r="F353" s="231">
        <f>IF(F350-F356&gt;=G359,0,MAX(0,G359-F350))</f>
        <v>0</v>
      </c>
      <c r="G353" s="232">
        <f>IF(G350-G356&gt;=G359,0,MAX(0,G359-G350))</f>
        <v>0</v>
      </c>
    </row>
    <row r="354" spans="1:8" ht="12.75" customHeight="1" x14ac:dyDescent="0.2">
      <c r="A354" s="1" t="str">
        <f>Labels!B52</f>
        <v>Dir Matl Units Used</v>
      </c>
    </row>
    <row r="355" spans="1:8" ht="12.75" customHeight="1" x14ac:dyDescent="0.2">
      <c r="B355" s="10" t="str">
        <f>'(FnCalls 1)'!F41</f>
        <v>MMM 2011</v>
      </c>
      <c r="C355" s="11" t="str">
        <f>'(FnCalls 1)'!F42</f>
        <v>MMM 2011</v>
      </c>
      <c r="D355" s="11" t="str">
        <f>'(FnCalls 1)'!F43</f>
        <v>MMM 2011</v>
      </c>
      <c r="E355" s="11" t="str">
        <f>'(FnCalls 1)'!F44</f>
        <v>MMM 2011</v>
      </c>
      <c r="F355" s="11" t="str">
        <f>'(FnCalls 1)'!F45</f>
        <v>MMM 2011</v>
      </c>
      <c r="G355" s="12" t="str">
        <f>'(FnCalls 1)'!F46</f>
        <v>MMM 2011</v>
      </c>
    </row>
    <row r="356" spans="1:8" ht="12.75" customHeight="1" x14ac:dyDescent="0.2">
      <c r="A356" s="91"/>
      <c r="B356" s="231">
        <f>'(Compute)'!B168</f>
        <v>0</v>
      </c>
      <c r="C356" s="231">
        <f>'(Compute)'!C168</f>
        <v>0</v>
      </c>
      <c r="D356" s="231">
        <f>'(Compute)'!D168</f>
        <v>0</v>
      </c>
      <c r="E356" s="231">
        <f>'(Compute)'!E168</f>
        <v>0</v>
      </c>
      <c r="F356" s="231">
        <f>'(Compute)'!F168</f>
        <v>0</v>
      </c>
      <c r="G356" s="232">
        <f>'(Compute)'!G168</f>
        <v>0</v>
      </c>
    </row>
    <row r="357" spans="1:8" ht="12.75" customHeight="1" x14ac:dyDescent="0.2">
      <c r="A357" s="1" t="str">
        <f>Labels!B123</f>
        <v>Purch Raw Matl Needs</v>
      </c>
    </row>
    <row r="358" spans="1:8" ht="12.75" customHeight="1" x14ac:dyDescent="0.2">
      <c r="B358" s="10" t="str">
        <f>'(FnCalls 1)'!F41</f>
        <v>MMM 2011</v>
      </c>
      <c r="C358" s="11" t="str">
        <f>'(FnCalls 1)'!F42</f>
        <v>MMM 2011</v>
      </c>
      <c r="D358" s="11" t="str">
        <f>'(FnCalls 1)'!F43</f>
        <v>MMM 2011</v>
      </c>
      <c r="E358" s="11" t="str">
        <f>'(FnCalls 1)'!F44</f>
        <v>MMM 2011</v>
      </c>
      <c r="F358" s="11" t="str">
        <f>'(FnCalls 1)'!F45</f>
        <v>MMM 2011</v>
      </c>
      <c r="G358" s="12" t="str">
        <f>'(FnCalls 1)'!F46</f>
        <v>MMM 2011</v>
      </c>
    </row>
    <row r="359" spans="1:8" ht="12.75" customHeight="1" x14ac:dyDescent="0.2">
      <c r="A359" s="91"/>
      <c r="B359" s="231">
        <f>B356*(1+Inputs!D169*1/('(FnCalls 1)'!A42-'(FnCalls 1)'!A41))</f>
        <v>0</v>
      </c>
      <c r="C359" s="231">
        <f>C356*(1+Inputs!E169*1/('(FnCalls 1)'!A43-'(FnCalls 1)'!A42))</f>
        <v>0</v>
      </c>
      <c r="D359" s="231">
        <f>D356*(1+Inputs!F169*1/('(FnCalls 1)'!A44-'(FnCalls 1)'!A43))</f>
        <v>0</v>
      </c>
      <c r="E359" s="231">
        <f>E356*(1+Inputs!G169*1/('(FnCalls 1)'!A45-'(FnCalls 1)'!A44))</f>
        <v>0</v>
      </c>
      <c r="F359" s="231">
        <f>F356*(1+Inputs!H169*1/('(FnCalls 1)'!A46-'(FnCalls 1)'!A45))</f>
        <v>0</v>
      </c>
      <c r="G359" s="232">
        <f>G356*(1+Inputs!I169*1/('(FnCalls 1)'!A47-'(FnCalls 1)'!A46))</f>
        <v>0</v>
      </c>
    </row>
    <row r="360" spans="1:8" ht="12.75" customHeight="1" x14ac:dyDescent="0.2">
      <c r="A360" s="1" t="str">
        <f>Labels!B133</f>
        <v>Revenue Growth</v>
      </c>
    </row>
    <row r="361" spans="1:8" ht="12.75" customHeight="1" x14ac:dyDescent="0.2">
      <c r="B361" s="10" t="str">
        <f>'(FnCalls 1)'!F42</f>
        <v>MMM 2011</v>
      </c>
      <c r="C361" s="11" t="str">
        <f>'(FnCalls 1)'!F43</f>
        <v>MMM 2011</v>
      </c>
      <c r="D361" s="11" t="str">
        <f>'(FnCalls 1)'!F44</f>
        <v>MMM 2011</v>
      </c>
      <c r="E361" s="11" t="str">
        <f>'(FnCalls 1)'!F45</f>
        <v>MMM 2011</v>
      </c>
      <c r="F361" s="12" t="str">
        <f>'(FnCalls 1)'!F46</f>
        <v>MMM 2011</v>
      </c>
    </row>
    <row r="362" spans="1:8" ht="12.75" customHeight="1" x14ac:dyDescent="0.2">
      <c r="A362" s="128" t="str">
        <f>Labels!B259</f>
        <v>Location 1</v>
      </c>
      <c r="B362" s="165">
        <f>IF(Sales!B23=0,0,Sales!C23/Sales!B23-1)</f>
        <v>0</v>
      </c>
      <c r="C362" s="165">
        <f>IF(Sales!C23=0,0,Sales!D23/Sales!C23-1)</f>
        <v>0</v>
      </c>
      <c r="D362" s="165">
        <f>IF(Sales!D23=0,0,Sales!E23/Sales!D23-1)</f>
        <v>0</v>
      </c>
      <c r="E362" s="165">
        <f>IF(Sales!E23=0,0,Sales!F23/Sales!E23-1)</f>
        <v>0</v>
      </c>
      <c r="F362" s="249">
        <f>IF(Sales!F23=0,0,Sales!G23/Sales!F23-1)</f>
        <v>0</v>
      </c>
    </row>
    <row r="363" spans="1:8" ht="12.75" customHeight="1" x14ac:dyDescent="0.2">
      <c r="A363" s="134" t="str">
        <f>Labels!B260</f>
        <v>Location 2</v>
      </c>
      <c r="B363" s="167">
        <f>IF(Sales!B24=0,0,Sales!C24/Sales!B24-1)</f>
        <v>0</v>
      </c>
      <c r="C363" s="167">
        <f>IF(Sales!C24=0,0,Sales!D24/Sales!C24-1)</f>
        <v>0</v>
      </c>
      <c r="D363" s="167">
        <f>IF(Sales!D24=0,0,Sales!E24/Sales!D24-1)</f>
        <v>0</v>
      </c>
      <c r="E363" s="167">
        <f>IF(Sales!E24=0,0,Sales!F24/Sales!E24-1)</f>
        <v>0</v>
      </c>
      <c r="F363" s="251">
        <f>IF(Sales!F24=0,0,Sales!G24/Sales!F24-1)</f>
        <v>0</v>
      </c>
    </row>
    <row r="364" spans="1:8" ht="12.75" customHeight="1" x14ac:dyDescent="0.2">
      <c r="A364" s="91" t="str">
        <f>Labels!C258</f>
        <v>Total</v>
      </c>
      <c r="B364" s="161">
        <f>IF(IncStmt!B6=0,0,IncStmt!C6/IncStmt!B6-1)</f>
        <v>0</v>
      </c>
      <c r="C364" s="161">
        <f>IF(IncStmt!C6=0,0,IncStmt!D6/IncStmt!C6-1)</f>
        <v>0</v>
      </c>
      <c r="D364" s="161">
        <f>IF(IncStmt!D6=0,0,IncStmt!E6/IncStmt!D6-1)</f>
        <v>0</v>
      </c>
      <c r="E364" s="161">
        <f>IF(IncStmt!E6=0,0,IncStmt!F6/IncStmt!E6-1)</f>
        <v>0</v>
      </c>
      <c r="F364" s="252">
        <f>IF(IncStmt!F6=0,0,IncStmt!G6/IncStmt!F6-1)</f>
        <v>0</v>
      </c>
    </row>
    <row r="365" spans="1:8" ht="12.75" customHeight="1" x14ac:dyDescent="0.2">
      <c r="A365" s="1" t="str">
        <f>Labels!B14</f>
        <v>Assets</v>
      </c>
    </row>
    <row r="366" spans="1:8" ht="12.75" customHeight="1" x14ac:dyDescent="0.2">
      <c r="B366" s="10" t="str">
        <f>'(FnCalls 1)'!F40</f>
        <v>MMM 2010</v>
      </c>
      <c r="C366" s="11" t="str">
        <f>'(FnCalls 1)'!F41</f>
        <v>MMM 2011</v>
      </c>
      <c r="D366" s="11" t="str">
        <f>'(FnCalls 1)'!F42</f>
        <v>MMM 2011</v>
      </c>
      <c r="E366" s="11" t="str">
        <f>'(FnCalls 1)'!F43</f>
        <v>MMM 2011</v>
      </c>
      <c r="F366" s="11" t="str">
        <f>'(FnCalls 1)'!F44</f>
        <v>MMM 2011</v>
      </c>
      <c r="G366" s="11" t="str">
        <f>'(FnCalls 1)'!F45</f>
        <v>MMM 2011</v>
      </c>
      <c r="H366" s="12" t="str">
        <f>'(FnCalls 1)'!F46</f>
        <v>MMM 2011</v>
      </c>
    </row>
    <row r="367" spans="1:8" ht="12.75" customHeight="1" x14ac:dyDescent="0.2">
      <c r="A367" s="128" t="str">
        <f>Labels!B189</f>
        <v>Short Term Assets</v>
      </c>
      <c r="B367" s="141"/>
      <c r="C367" s="141"/>
      <c r="D367" s="141"/>
      <c r="E367" s="141"/>
      <c r="F367" s="141"/>
      <c r="G367" s="141"/>
      <c r="H367" s="225"/>
    </row>
    <row r="368" spans="1:8" ht="12.75" customHeight="1" x14ac:dyDescent="0.2">
      <c r="A368" s="142" t="str">
        <f>"   "&amp;Labels!B190</f>
        <v xml:space="preserve">   Cash</v>
      </c>
      <c r="B368" s="143">
        <f>B247</f>
        <v>0</v>
      </c>
      <c r="C368" s="143">
        <f>BalSht!C8</f>
        <v>0</v>
      </c>
      <c r="D368" s="143">
        <f>BalSht!D8</f>
        <v>0</v>
      </c>
      <c r="E368" s="143">
        <f>BalSht!E8</f>
        <v>0</v>
      </c>
      <c r="F368" s="143">
        <f>BalSht!F8</f>
        <v>0</v>
      </c>
      <c r="G368" s="143">
        <f>BalSht!G8</f>
        <v>0</v>
      </c>
      <c r="H368" s="246">
        <f>BalSht!H8</f>
        <v>0</v>
      </c>
    </row>
    <row r="369" spans="1:8" ht="12.75" customHeight="1" x14ac:dyDescent="0.2">
      <c r="A369" s="142" t="str">
        <f>"   "&amp;Labels!B191</f>
        <v xml:space="preserve">   Accounts Receivable</v>
      </c>
      <c r="B369" s="143">
        <f>B256</f>
        <v>0</v>
      </c>
      <c r="C369" s="143">
        <f>BalSht!C9</f>
        <v>0</v>
      </c>
      <c r="D369" s="143">
        <f>BalSht!D9</f>
        <v>0</v>
      </c>
      <c r="E369" s="143">
        <f>BalSht!E9</f>
        <v>0</v>
      </c>
      <c r="F369" s="143">
        <f>BalSht!F9</f>
        <v>0</v>
      </c>
      <c r="G369" s="143">
        <f>BalSht!G9</f>
        <v>0</v>
      </c>
      <c r="H369" s="246">
        <f>BalSht!H9</f>
        <v>0</v>
      </c>
    </row>
    <row r="370" spans="1:8" ht="12.75" customHeight="1" x14ac:dyDescent="0.2">
      <c r="A370" s="142" t="str">
        <f>"   "&amp;Labels!B192</f>
        <v xml:space="preserve">   Inventory</v>
      </c>
      <c r="B370" s="143">
        <f>B344+B347</f>
        <v>0</v>
      </c>
      <c r="C370" s="143">
        <f>BalSht!C10</f>
        <v>0</v>
      </c>
      <c r="D370" s="143">
        <f>BalSht!D10</f>
        <v>0</v>
      </c>
      <c r="E370" s="143">
        <f>BalSht!E10</f>
        <v>0</v>
      </c>
      <c r="F370" s="143">
        <f>BalSht!F10</f>
        <v>0</v>
      </c>
      <c r="G370" s="143">
        <f>BalSht!G10</f>
        <v>0</v>
      </c>
      <c r="H370" s="246">
        <f>BalSht!H10</f>
        <v>0</v>
      </c>
    </row>
    <row r="371" spans="1:8" ht="12.75" customHeight="1" x14ac:dyDescent="0.2">
      <c r="A371" s="134" t="str">
        <f>"   "&amp;Labels!C189</f>
        <v xml:space="preserve">   Subtotal</v>
      </c>
      <c r="B371" s="145">
        <f t="shared" ref="B371:H371" si="66">SUM(B368:B370)</f>
        <v>0</v>
      </c>
      <c r="C371" s="145">
        <f t="shared" si="66"/>
        <v>0</v>
      </c>
      <c r="D371" s="145">
        <f t="shared" si="66"/>
        <v>0</v>
      </c>
      <c r="E371" s="145">
        <f t="shared" si="66"/>
        <v>0</v>
      </c>
      <c r="F371" s="145">
        <f t="shared" si="66"/>
        <v>0</v>
      </c>
      <c r="G371" s="145">
        <f t="shared" si="66"/>
        <v>0</v>
      </c>
      <c r="H371" s="226">
        <f t="shared" si="66"/>
        <v>0</v>
      </c>
    </row>
    <row r="372" spans="1:8" ht="12.75" customHeight="1" x14ac:dyDescent="0.2">
      <c r="A372" s="134" t="str">
        <f>Labels!B193</f>
        <v>Long Term Assets</v>
      </c>
      <c r="B372" s="145">
        <f>B376</f>
        <v>0</v>
      </c>
      <c r="C372" s="145">
        <f>BalSht!C12</f>
        <v>0</v>
      </c>
      <c r="D372" s="145">
        <f>BalSht!D12</f>
        <v>0</v>
      </c>
      <c r="E372" s="145">
        <f>BalSht!E12</f>
        <v>0</v>
      </c>
      <c r="F372" s="145">
        <f>BalSht!F12</f>
        <v>0</v>
      </c>
      <c r="G372" s="145">
        <f>BalSht!G12</f>
        <v>0</v>
      </c>
      <c r="H372" s="226">
        <f>BalSht!H12</f>
        <v>0</v>
      </c>
    </row>
    <row r="373" spans="1:8" ht="12.75" customHeight="1" x14ac:dyDescent="0.2">
      <c r="A373" s="91" t="str">
        <f>Labels!C188</f>
        <v>Total</v>
      </c>
      <c r="B373" s="149">
        <f t="shared" ref="B373:H373" si="67">SUM(B371:B372)</f>
        <v>0</v>
      </c>
      <c r="C373" s="149">
        <f t="shared" si="67"/>
        <v>0</v>
      </c>
      <c r="D373" s="149">
        <f t="shared" si="67"/>
        <v>0</v>
      </c>
      <c r="E373" s="149">
        <f t="shared" si="67"/>
        <v>0</v>
      </c>
      <c r="F373" s="149">
        <f t="shared" si="67"/>
        <v>0</v>
      </c>
      <c r="G373" s="149">
        <f t="shared" si="67"/>
        <v>0</v>
      </c>
      <c r="H373" s="227">
        <f t="shared" si="67"/>
        <v>0</v>
      </c>
    </row>
    <row r="374" spans="1:8" ht="12.75" customHeight="1" x14ac:dyDescent="0.2">
      <c r="A374" s="1" t="str">
        <f>Labels!B98</f>
        <v>Long Term Assets</v>
      </c>
    </row>
    <row r="375" spans="1:8" ht="12.75" customHeight="1" x14ac:dyDescent="0.2">
      <c r="B375" s="10" t="str">
        <f>'(FnCalls 1)'!F40</f>
        <v>MMM 2010</v>
      </c>
      <c r="C375" s="11" t="str">
        <f>'(FnCalls 1)'!F41</f>
        <v>MMM 2011</v>
      </c>
      <c r="D375" s="11" t="str">
        <f>'(FnCalls 1)'!F42</f>
        <v>MMM 2011</v>
      </c>
      <c r="E375" s="11" t="str">
        <f>'(FnCalls 1)'!F43</f>
        <v>MMM 2011</v>
      </c>
      <c r="F375" s="11" t="str">
        <f>'(FnCalls 1)'!F44</f>
        <v>MMM 2011</v>
      </c>
      <c r="G375" s="11" t="str">
        <f>'(FnCalls 1)'!F45</f>
        <v>MMM 2011</v>
      </c>
      <c r="H375" s="12" t="str">
        <f>'(FnCalls 1)'!F46</f>
        <v>MMM 2011</v>
      </c>
    </row>
    <row r="376" spans="1:8" ht="12.75" customHeight="1" x14ac:dyDescent="0.2">
      <c r="A376" s="91"/>
      <c r="B376" s="149">
        <f>0+AK286+0</f>
        <v>0</v>
      </c>
      <c r="C376" s="149">
        <f>Assets!C40</f>
        <v>0</v>
      </c>
      <c r="D376" s="149">
        <f>Assets!D40</f>
        <v>0</v>
      </c>
      <c r="E376" s="149">
        <f>Assets!E40</f>
        <v>0</v>
      </c>
      <c r="F376" s="149">
        <f>Assets!F40</f>
        <v>0</v>
      </c>
      <c r="G376" s="149">
        <f>Assets!G40</f>
        <v>0</v>
      </c>
      <c r="H376" s="227">
        <f>Assets!H40</f>
        <v>0</v>
      </c>
    </row>
    <row r="377" spans="1:8" ht="12.75" customHeight="1" x14ac:dyDescent="0.2">
      <c r="A377" s="1" t="str">
        <f>Labels!B96</f>
        <v>Liabilities</v>
      </c>
    </row>
    <row r="378" spans="1:8" ht="12.75" customHeight="1" x14ac:dyDescent="0.2">
      <c r="B378" s="10" t="str">
        <f>'(FnCalls 1)'!F40</f>
        <v>MMM 2010</v>
      </c>
      <c r="C378" s="11" t="str">
        <f>'(FnCalls 1)'!F41</f>
        <v>MMM 2011</v>
      </c>
      <c r="D378" s="11" t="str">
        <f>'(FnCalls 1)'!F42</f>
        <v>MMM 2011</v>
      </c>
      <c r="E378" s="11" t="str">
        <f>'(FnCalls 1)'!F43</f>
        <v>MMM 2011</v>
      </c>
      <c r="F378" s="11" t="str">
        <f>'(FnCalls 1)'!F44</f>
        <v>MMM 2011</v>
      </c>
      <c r="G378" s="11" t="str">
        <f>'(FnCalls 1)'!F45</f>
        <v>MMM 2011</v>
      </c>
      <c r="H378" s="12" t="str">
        <f>'(FnCalls 1)'!F46</f>
        <v>MMM 2011</v>
      </c>
    </row>
    <row r="379" spans="1:8" ht="12.75" customHeight="1" x14ac:dyDescent="0.2">
      <c r="A379" s="128" t="str">
        <f>Labels!B238</f>
        <v>Short Liabilities</v>
      </c>
      <c r="B379" s="141"/>
      <c r="C379" s="141"/>
      <c r="D379" s="141"/>
      <c r="E379" s="141"/>
      <c r="F379" s="141"/>
      <c r="G379" s="141"/>
      <c r="H379" s="225"/>
    </row>
    <row r="380" spans="1:8" ht="12.75" customHeight="1" x14ac:dyDescent="0.2">
      <c r="A380" s="142" t="str">
        <f>"   "&amp;Labels!B239</f>
        <v xml:space="preserve">   Accounts Payable</v>
      </c>
      <c r="B380" s="143">
        <f>B306</f>
        <v>0</v>
      </c>
      <c r="C380" s="143">
        <f>BalSht!C17</f>
        <v>0</v>
      </c>
      <c r="D380" s="143">
        <f>BalSht!D17</f>
        <v>0</v>
      </c>
      <c r="E380" s="143">
        <f>BalSht!E17</f>
        <v>0</v>
      </c>
      <c r="F380" s="143">
        <f>BalSht!F17</f>
        <v>0</v>
      </c>
      <c r="G380" s="143">
        <f>BalSht!G17</f>
        <v>0</v>
      </c>
      <c r="H380" s="246">
        <f>BalSht!H17</f>
        <v>0</v>
      </c>
    </row>
    <row r="381" spans="1:8" ht="12.75" customHeight="1" x14ac:dyDescent="0.2">
      <c r="A381" s="142" t="str">
        <f>"   "&amp;Labels!B240</f>
        <v xml:space="preserve">   Short Term Debt</v>
      </c>
      <c r="B381" s="143">
        <f>Inputs!D211</f>
        <v>0</v>
      </c>
      <c r="C381" s="143">
        <f>BalSht!C18</f>
        <v>0</v>
      </c>
      <c r="D381" s="143">
        <f>BalSht!D18</f>
        <v>0</v>
      </c>
      <c r="E381" s="143">
        <f>BalSht!E18</f>
        <v>0</v>
      </c>
      <c r="F381" s="143">
        <f>BalSht!F18</f>
        <v>0</v>
      </c>
      <c r="G381" s="143">
        <f>BalSht!G18</f>
        <v>0</v>
      </c>
      <c r="H381" s="246">
        <f>BalSht!H18</f>
        <v>0</v>
      </c>
    </row>
    <row r="382" spans="1:8" ht="12.75" customHeight="1" x14ac:dyDescent="0.2">
      <c r="A382" s="142" t="str">
        <f>"   "&amp;Labels!B241</f>
        <v xml:space="preserve">   Deferred Revenue</v>
      </c>
      <c r="B382" s="143">
        <f>0+0</f>
        <v>0</v>
      </c>
      <c r="C382" s="143">
        <f>BalSht!C19</f>
        <v>0</v>
      </c>
      <c r="D382" s="143">
        <f>BalSht!D19</f>
        <v>0</v>
      </c>
      <c r="E382" s="143">
        <f>BalSht!E19</f>
        <v>0</v>
      </c>
      <c r="F382" s="143">
        <f>BalSht!F19</f>
        <v>0</v>
      </c>
      <c r="G382" s="143">
        <f>BalSht!G19</f>
        <v>0</v>
      </c>
      <c r="H382" s="246">
        <f>BalSht!H19</f>
        <v>0</v>
      </c>
    </row>
    <row r="383" spans="1:8" ht="12.75" customHeight="1" x14ac:dyDescent="0.2">
      <c r="A383" s="134" t="str">
        <f>"   "&amp;Labels!C238</f>
        <v xml:space="preserve">   Subtotal</v>
      </c>
      <c r="B383" s="145">
        <f t="shared" ref="B383:H383" si="68">SUM(B380:B382)</f>
        <v>0</v>
      </c>
      <c r="C383" s="145">
        <f t="shared" si="68"/>
        <v>0</v>
      </c>
      <c r="D383" s="145">
        <f t="shared" si="68"/>
        <v>0</v>
      </c>
      <c r="E383" s="145">
        <f t="shared" si="68"/>
        <v>0</v>
      </c>
      <c r="F383" s="145">
        <f t="shared" si="68"/>
        <v>0</v>
      </c>
      <c r="G383" s="145">
        <f t="shared" si="68"/>
        <v>0</v>
      </c>
      <c r="H383" s="226">
        <f t="shared" si="68"/>
        <v>0</v>
      </c>
    </row>
    <row r="384" spans="1:8" ht="12.75" customHeight="1" x14ac:dyDescent="0.2">
      <c r="A384" s="134" t="str">
        <f>Labels!B242</f>
        <v>Long Liabilities</v>
      </c>
      <c r="B384" s="145"/>
      <c r="C384" s="145"/>
      <c r="D384" s="145"/>
      <c r="E384" s="145"/>
      <c r="F384" s="145"/>
      <c r="G384" s="145"/>
      <c r="H384" s="226"/>
    </row>
    <row r="385" spans="1:8" ht="12.75" customHeight="1" x14ac:dyDescent="0.2">
      <c r="A385" s="142" t="str">
        <f>"   "&amp;Labels!B243</f>
        <v xml:space="preserve">   Long Term Loans</v>
      </c>
      <c r="B385" s="143">
        <f>Inputs!D218</f>
        <v>0</v>
      </c>
      <c r="C385" s="143">
        <f>BalSht!C22</f>
        <v>0</v>
      </c>
      <c r="D385" s="143">
        <f>BalSht!D22</f>
        <v>0</v>
      </c>
      <c r="E385" s="143">
        <f>BalSht!E22</f>
        <v>0</v>
      </c>
      <c r="F385" s="143">
        <f>BalSht!F22</f>
        <v>0</v>
      </c>
      <c r="G385" s="143">
        <f>BalSht!G22</f>
        <v>0</v>
      </c>
      <c r="H385" s="246">
        <f>BalSht!H22</f>
        <v>0</v>
      </c>
    </row>
    <row r="386" spans="1:8" ht="12.75" customHeight="1" x14ac:dyDescent="0.2">
      <c r="A386" s="142" t="str">
        <f>"   "&amp;Labels!B244</f>
        <v xml:space="preserve">   Bonds</v>
      </c>
      <c r="B386" s="143">
        <f>0</f>
        <v>0</v>
      </c>
      <c r="C386" s="143">
        <f>BalSht!C23</f>
        <v>0</v>
      </c>
      <c r="D386" s="143">
        <f>BalSht!D23</f>
        <v>0</v>
      </c>
      <c r="E386" s="143">
        <f>BalSht!E23</f>
        <v>0</v>
      </c>
      <c r="F386" s="143">
        <f>BalSht!F23</f>
        <v>0</v>
      </c>
      <c r="G386" s="143">
        <f>BalSht!G23</f>
        <v>0</v>
      </c>
      <c r="H386" s="246">
        <f>BalSht!H23</f>
        <v>0</v>
      </c>
    </row>
    <row r="387" spans="1:8" ht="12.75" customHeight="1" x14ac:dyDescent="0.2">
      <c r="A387" s="134" t="str">
        <f>"   "&amp;Labels!C242</f>
        <v xml:space="preserve">   Subtotal</v>
      </c>
      <c r="B387" s="145">
        <f t="shared" ref="B387:H387" si="69">SUM(B385:B386)</f>
        <v>0</v>
      </c>
      <c r="C387" s="145">
        <f t="shared" si="69"/>
        <v>0</v>
      </c>
      <c r="D387" s="145">
        <f t="shared" si="69"/>
        <v>0</v>
      </c>
      <c r="E387" s="145">
        <f t="shared" si="69"/>
        <v>0</v>
      </c>
      <c r="F387" s="145">
        <f t="shared" si="69"/>
        <v>0</v>
      </c>
      <c r="G387" s="145">
        <f t="shared" si="69"/>
        <v>0</v>
      </c>
      <c r="H387" s="226">
        <f t="shared" si="69"/>
        <v>0</v>
      </c>
    </row>
    <row r="388" spans="1:8" ht="12.75" customHeight="1" x14ac:dyDescent="0.2">
      <c r="A388" s="91" t="str">
        <f>Labels!C237</f>
        <v>Total</v>
      </c>
      <c r="B388" s="149">
        <f t="shared" ref="B388:H388" si="70">SUM(B383,B387)</f>
        <v>0</v>
      </c>
      <c r="C388" s="149">
        <f t="shared" si="70"/>
        <v>0</v>
      </c>
      <c r="D388" s="149">
        <f t="shared" si="70"/>
        <v>0</v>
      </c>
      <c r="E388" s="149">
        <f t="shared" si="70"/>
        <v>0</v>
      </c>
      <c r="F388" s="149">
        <f t="shared" si="70"/>
        <v>0</v>
      </c>
      <c r="G388" s="149">
        <f t="shared" si="70"/>
        <v>0</v>
      </c>
      <c r="H388" s="227">
        <f t="shared" si="70"/>
        <v>0</v>
      </c>
    </row>
    <row r="389" spans="1:8" ht="12.75" customHeight="1" x14ac:dyDescent="0.2">
      <c r="A389" s="1" t="str">
        <f>Labels!B67</f>
        <v>Equity</v>
      </c>
    </row>
    <row r="390" spans="1:8" ht="12.75" customHeight="1" x14ac:dyDescent="0.2">
      <c r="B390" s="10" t="str">
        <f>'(FnCalls 1)'!F40</f>
        <v>MMM 2010</v>
      </c>
      <c r="C390" s="11" t="str">
        <f>'(FnCalls 1)'!F41</f>
        <v>MMM 2011</v>
      </c>
      <c r="D390" s="11" t="str">
        <f>'(FnCalls 1)'!F42</f>
        <v>MMM 2011</v>
      </c>
      <c r="E390" s="11" t="str">
        <f>'(FnCalls 1)'!F43</f>
        <v>MMM 2011</v>
      </c>
      <c r="F390" s="11" t="str">
        <f>'(FnCalls 1)'!F44</f>
        <v>MMM 2011</v>
      </c>
      <c r="G390" s="11" t="str">
        <f>'(FnCalls 1)'!F45</f>
        <v>MMM 2011</v>
      </c>
      <c r="H390" s="12" t="str">
        <f>'(FnCalls 1)'!F46</f>
        <v>MMM 2011</v>
      </c>
    </row>
    <row r="391" spans="1:8" ht="12.75" customHeight="1" x14ac:dyDescent="0.2">
      <c r="A391" s="128" t="str">
        <f>Labels!B227</f>
        <v>Paid in Capital</v>
      </c>
      <c r="B391" s="141">
        <f>B396</f>
        <v>0</v>
      </c>
      <c r="C391" s="141">
        <f>BalSht!C28</f>
        <v>0</v>
      </c>
      <c r="D391" s="141">
        <f>BalSht!D28</f>
        <v>0</v>
      </c>
      <c r="E391" s="141">
        <f>BalSht!E28</f>
        <v>0</v>
      </c>
      <c r="F391" s="141">
        <f>BalSht!F28</f>
        <v>0</v>
      </c>
      <c r="G391" s="141">
        <f>BalSht!G28</f>
        <v>0</v>
      </c>
      <c r="H391" s="225">
        <f>BalSht!H28</f>
        <v>0</v>
      </c>
    </row>
    <row r="392" spans="1:8" ht="12.75" customHeight="1" x14ac:dyDescent="0.2">
      <c r="A392" s="134" t="str">
        <f>Labels!B228</f>
        <v>Retained Earnings</v>
      </c>
      <c r="B392" s="145">
        <f>B399</f>
        <v>0</v>
      </c>
      <c r="C392" s="145">
        <f>BalSht!C29</f>
        <v>0</v>
      </c>
      <c r="D392" s="145">
        <f>BalSht!D29</f>
        <v>0</v>
      </c>
      <c r="E392" s="145">
        <f>BalSht!E29</f>
        <v>0</v>
      </c>
      <c r="F392" s="145">
        <f>BalSht!F29</f>
        <v>0</v>
      </c>
      <c r="G392" s="145">
        <f>BalSht!G29</f>
        <v>0</v>
      </c>
      <c r="H392" s="226">
        <f>BalSht!H29</f>
        <v>0</v>
      </c>
    </row>
    <row r="393" spans="1:8" ht="12.75" customHeight="1" x14ac:dyDescent="0.2">
      <c r="A393" s="91" t="str">
        <f>Labels!C226</f>
        <v>Total</v>
      </c>
      <c r="B393" s="149">
        <f t="shared" ref="B393:H393" si="71">SUM(B391:B392)</f>
        <v>0</v>
      </c>
      <c r="C393" s="149">
        <f t="shared" si="71"/>
        <v>0</v>
      </c>
      <c r="D393" s="149">
        <f t="shared" si="71"/>
        <v>0</v>
      </c>
      <c r="E393" s="149">
        <f t="shared" si="71"/>
        <v>0</v>
      </c>
      <c r="F393" s="149">
        <f t="shared" si="71"/>
        <v>0</v>
      </c>
      <c r="G393" s="149">
        <f t="shared" si="71"/>
        <v>0</v>
      </c>
      <c r="H393" s="227">
        <f t="shared" si="71"/>
        <v>0</v>
      </c>
    </row>
    <row r="394" spans="1:8" ht="12.75" customHeight="1" x14ac:dyDescent="0.2">
      <c r="A394" s="1" t="str">
        <f>Labels!B114</f>
        <v>Paid in Capital</v>
      </c>
    </row>
    <row r="395" spans="1:8" ht="12.75" customHeight="1" x14ac:dyDescent="0.2">
      <c r="B395" s="10" t="str">
        <f>'(FnCalls 1)'!F40</f>
        <v>MMM 2010</v>
      </c>
      <c r="C395" s="11" t="str">
        <f>'(FnCalls 1)'!F41</f>
        <v>MMM 2011</v>
      </c>
      <c r="D395" s="11" t="str">
        <f>'(FnCalls 1)'!F42</f>
        <v>MMM 2011</v>
      </c>
      <c r="E395" s="11" t="str">
        <f>'(FnCalls 1)'!F43</f>
        <v>MMM 2011</v>
      </c>
      <c r="F395" s="11" t="str">
        <f>'(FnCalls 1)'!F44</f>
        <v>MMM 2011</v>
      </c>
      <c r="G395" s="11" t="str">
        <f>'(FnCalls 1)'!F45</f>
        <v>MMM 2011</v>
      </c>
      <c r="H395" s="12" t="str">
        <f>'(FnCalls 1)'!F46</f>
        <v>MMM 2011</v>
      </c>
    </row>
    <row r="396" spans="1:8" ht="12.75" customHeight="1" x14ac:dyDescent="0.2">
      <c r="A396" s="91"/>
      <c r="B396" s="149">
        <f>0+Inputs!D227</f>
        <v>0</v>
      </c>
      <c r="C396" s="149">
        <f>B396+Inputs!E227</f>
        <v>0</v>
      </c>
      <c r="D396" s="149">
        <f>C396+Inputs!F227</f>
        <v>0</v>
      </c>
      <c r="E396" s="149">
        <f>D396+Inputs!G227</f>
        <v>0</v>
      </c>
      <c r="F396" s="149">
        <f>E396+Inputs!H227</f>
        <v>0</v>
      </c>
      <c r="G396" s="149">
        <f>F396+Inputs!I227</f>
        <v>0</v>
      </c>
      <c r="H396" s="227">
        <f>G396+Inputs!J227</f>
        <v>0</v>
      </c>
    </row>
    <row r="397" spans="1:8" ht="12.75" customHeight="1" x14ac:dyDescent="0.2">
      <c r="A397" s="1" t="str">
        <f>Labels!B126</f>
        <v>Retained Earnings</v>
      </c>
    </row>
    <row r="398" spans="1:8" ht="12.75" customHeight="1" x14ac:dyDescent="0.2">
      <c r="B398" s="10" t="str">
        <f>'(FnCalls 1)'!F40</f>
        <v>MMM 2010</v>
      </c>
      <c r="C398" s="11" t="str">
        <f>'(FnCalls 1)'!F41</f>
        <v>MMM 2011</v>
      </c>
      <c r="D398" s="11" t="str">
        <f>'(FnCalls 1)'!F42</f>
        <v>MMM 2011</v>
      </c>
      <c r="E398" s="11" t="str">
        <f>'(FnCalls 1)'!F43</f>
        <v>MMM 2011</v>
      </c>
      <c r="F398" s="11" t="str">
        <f>'(FnCalls 1)'!F44</f>
        <v>MMM 2011</v>
      </c>
      <c r="G398" s="11" t="str">
        <f>'(FnCalls 1)'!F45</f>
        <v>MMM 2011</v>
      </c>
      <c r="H398" s="12" t="str">
        <f>'(FnCalls 1)'!F46</f>
        <v>MMM 2011</v>
      </c>
    </row>
    <row r="399" spans="1:8" ht="12.75" customHeight="1" x14ac:dyDescent="0.2">
      <c r="A399" s="91"/>
      <c r="B399" s="149">
        <f>B373-B388-B396</f>
        <v>0</v>
      </c>
      <c r="C399" s="149">
        <f>B399+IncStmt!B21-Inputs!E229</f>
        <v>0</v>
      </c>
      <c r="D399" s="149">
        <f>C399+IncStmt!C21-Inputs!F229</f>
        <v>0</v>
      </c>
      <c r="E399" s="149">
        <f>D399+IncStmt!D21-Inputs!G229</f>
        <v>0</v>
      </c>
      <c r="F399" s="149">
        <f>E399+IncStmt!E21-Inputs!H229</f>
        <v>0</v>
      </c>
      <c r="G399" s="149">
        <f>F399+IncStmt!F21-Inputs!I229</f>
        <v>0</v>
      </c>
      <c r="H399" s="227">
        <f>G399+IncStmt!G21-Inputs!J229</f>
        <v>0</v>
      </c>
    </row>
    <row r="400" spans="1:8" ht="12.75" customHeight="1" x14ac:dyDescent="0.2">
      <c r="A400" s="1" t="str">
        <f>Labels!B17</f>
        <v>Balance Check</v>
      </c>
    </row>
    <row r="401" spans="1:43" ht="12.75" customHeight="1" x14ac:dyDescent="0.2">
      <c r="B401" s="10" t="str">
        <f>'(FnCalls 1)'!F40</f>
        <v>MMM 2010</v>
      </c>
      <c r="C401" s="11" t="str">
        <f>'(FnCalls 1)'!F41</f>
        <v>MMM 2011</v>
      </c>
      <c r="D401" s="11" t="str">
        <f>'(FnCalls 1)'!F42</f>
        <v>MMM 2011</v>
      </c>
      <c r="E401" s="11" t="str">
        <f>'(FnCalls 1)'!F43</f>
        <v>MMM 2011</v>
      </c>
      <c r="F401" s="11" t="str">
        <f>'(FnCalls 1)'!F44</f>
        <v>MMM 2011</v>
      </c>
      <c r="G401" s="11" t="str">
        <f>'(FnCalls 1)'!F45</f>
        <v>MMM 2011</v>
      </c>
      <c r="H401" s="12" t="str">
        <f>'(FnCalls 1)'!F46</f>
        <v>MMM 2011</v>
      </c>
    </row>
    <row r="402" spans="1:43" ht="12.75" customHeight="1" x14ac:dyDescent="0.2">
      <c r="A402" s="91"/>
      <c r="B402" s="147">
        <f>B373-B388-B393</f>
        <v>0</v>
      </c>
      <c r="C402" s="147">
        <f>BalSht!C34</f>
        <v>0</v>
      </c>
      <c r="D402" s="147">
        <f>BalSht!D34</f>
        <v>0</v>
      </c>
      <c r="E402" s="147">
        <f>BalSht!E34</f>
        <v>0</v>
      </c>
      <c r="F402" s="147">
        <f>BalSht!F34</f>
        <v>0</v>
      </c>
      <c r="G402" s="147">
        <f>BalSht!G34</f>
        <v>0</v>
      </c>
      <c r="H402" s="212">
        <f>BalSht!H34</f>
        <v>0</v>
      </c>
    </row>
    <row r="403" spans="1:43" ht="12.75" customHeight="1" x14ac:dyDescent="0.2">
      <c r="A403" s="1" t="str">
        <f>Labels!B36</f>
        <v>Chg Short Debt</v>
      </c>
    </row>
    <row r="404" spans="1:43" ht="12.75" customHeight="1" x14ac:dyDescent="0.2">
      <c r="B404" s="10" t="str">
        <f>'(FnCalls 1)'!F41</f>
        <v>MMM 2011</v>
      </c>
      <c r="C404" s="11" t="str">
        <f>'(FnCalls 1)'!F42</f>
        <v>MMM 2011</v>
      </c>
      <c r="D404" s="11" t="str">
        <f>'(FnCalls 1)'!F43</f>
        <v>MMM 2011</v>
      </c>
      <c r="E404" s="11" t="str">
        <f>'(FnCalls 1)'!F44</f>
        <v>MMM 2011</v>
      </c>
      <c r="F404" s="11" t="str">
        <f>'(FnCalls 1)'!F45</f>
        <v>MMM 2011</v>
      </c>
      <c r="G404" s="12" t="str">
        <f>'(FnCalls 1)'!F46</f>
        <v>MMM 2011</v>
      </c>
    </row>
    <row r="405" spans="1:43" ht="12.75" customHeight="1" x14ac:dyDescent="0.2">
      <c r="A405" s="91"/>
      <c r="B405" s="149">
        <f>Inputs!E211-Inputs!D211</f>
        <v>0</v>
      </c>
      <c r="C405" s="149">
        <f>Inputs!F211-Inputs!E211</f>
        <v>0</v>
      </c>
      <c r="D405" s="149">
        <f>Inputs!G211-Inputs!F211</f>
        <v>0</v>
      </c>
      <c r="E405" s="149">
        <f>Inputs!H211-Inputs!G211</f>
        <v>0</v>
      </c>
      <c r="F405" s="149">
        <f>Inputs!I211-Inputs!H211</f>
        <v>0</v>
      </c>
      <c r="G405" s="227">
        <f>Inputs!J211-Inputs!I211</f>
        <v>0</v>
      </c>
    </row>
    <row r="406" spans="1:43" ht="12.75" customHeight="1" x14ac:dyDescent="0.2">
      <c r="A406" s="1" t="str">
        <f>Labels!B32</f>
        <v>Chg Bond Principal</v>
      </c>
    </row>
    <row r="407" spans="1:43" ht="12.75" customHeight="1" x14ac:dyDescent="0.2">
      <c r="B407" s="10" t="str">
        <f>'(FnCalls 1)'!F5</f>
        <v>MMM 2008</v>
      </c>
      <c r="C407" s="11" t="str">
        <f>'(FnCalls 1)'!F6</f>
        <v>MMM 2008</v>
      </c>
      <c r="D407" s="11" t="str">
        <f>'(FnCalls 1)'!F7</f>
        <v>MMM 2008</v>
      </c>
      <c r="E407" s="11" t="str">
        <f>'(FnCalls 1)'!F8</f>
        <v>MMM 2008</v>
      </c>
      <c r="F407" s="11" t="str">
        <f>'(FnCalls 1)'!F9</f>
        <v>MMM 2008</v>
      </c>
      <c r="G407" s="11" t="str">
        <f>'(FnCalls 1)'!F10</f>
        <v>MMM 2008</v>
      </c>
      <c r="H407" s="11" t="str">
        <f>'(FnCalls 1)'!F11</f>
        <v>MMM 2008</v>
      </c>
      <c r="I407" s="11" t="str">
        <f>'(FnCalls 1)'!F12</f>
        <v>MMM 2008</v>
      </c>
      <c r="J407" s="11" t="str">
        <f>'(FnCalls 1)'!F13</f>
        <v>MMM 2008</v>
      </c>
      <c r="K407" s="11" t="str">
        <f>'(FnCalls 1)'!F14</f>
        <v>MMM 2008</v>
      </c>
      <c r="L407" s="11" t="str">
        <f>'(FnCalls 1)'!F15</f>
        <v>MMM 2008</v>
      </c>
      <c r="M407" s="11" t="str">
        <f>'(FnCalls 1)'!F16</f>
        <v>MMM 2008</v>
      </c>
      <c r="N407" s="11" t="str">
        <f>'(FnCalls 1)'!F17</f>
        <v>MMM 2009</v>
      </c>
      <c r="O407" s="11" t="str">
        <f>'(FnCalls 1)'!F18</f>
        <v>MMM 2009</v>
      </c>
      <c r="P407" s="11" t="str">
        <f>'(FnCalls 1)'!F19</f>
        <v>MMM 2009</v>
      </c>
      <c r="Q407" s="11" t="str">
        <f>'(FnCalls 1)'!F20</f>
        <v>MMM 2009</v>
      </c>
      <c r="R407" s="11" t="str">
        <f>'(FnCalls 1)'!F21</f>
        <v>MMM 2009</v>
      </c>
      <c r="S407" s="11" t="str">
        <f>'(FnCalls 1)'!F22</f>
        <v>MMM 2009</v>
      </c>
      <c r="T407" s="11" t="str">
        <f>'(FnCalls 1)'!F23</f>
        <v>MMM 2009</v>
      </c>
      <c r="U407" s="11" t="str">
        <f>'(FnCalls 1)'!F24</f>
        <v>MMM 2009</v>
      </c>
      <c r="V407" s="11" t="str">
        <f>'(FnCalls 1)'!F25</f>
        <v>MMM 2009</v>
      </c>
      <c r="W407" s="11" t="str">
        <f>'(FnCalls 1)'!F26</f>
        <v>MMM 2009</v>
      </c>
      <c r="X407" s="11" t="str">
        <f>'(FnCalls 1)'!F27</f>
        <v>MMM 2009</v>
      </c>
      <c r="Y407" s="11" t="str">
        <f>'(FnCalls 1)'!F28</f>
        <v>MMM 2009</v>
      </c>
      <c r="Z407" s="11" t="str">
        <f>'(FnCalls 1)'!F29</f>
        <v>MMM 2010</v>
      </c>
      <c r="AA407" s="11" t="str">
        <f>'(FnCalls 1)'!F30</f>
        <v>MMM 2010</v>
      </c>
      <c r="AB407" s="11" t="str">
        <f>'(FnCalls 1)'!F31</f>
        <v>MMM 2010</v>
      </c>
      <c r="AC407" s="11" t="str">
        <f>'(FnCalls 1)'!F32</f>
        <v>MMM 2010</v>
      </c>
      <c r="AD407" s="11" t="str">
        <f>'(FnCalls 1)'!F33</f>
        <v>MMM 2010</v>
      </c>
      <c r="AE407" s="11" t="str">
        <f>'(FnCalls 1)'!F34</f>
        <v>MMM 2010</v>
      </c>
      <c r="AF407" s="11" t="str">
        <f>'(FnCalls 1)'!F35</f>
        <v>MMM 2010</v>
      </c>
      <c r="AG407" s="11" t="str">
        <f>'(FnCalls 1)'!F36</f>
        <v>MMM 2010</v>
      </c>
      <c r="AH407" s="11" t="str">
        <f>'(FnCalls 1)'!F37</f>
        <v>MMM 2010</v>
      </c>
      <c r="AI407" s="11" t="str">
        <f>'(FnCalls 1)'!F38</f>
        <v>MMM 2010</v>
      </c>
      <c r="AJ407" s="11" t="str">
        <f>'(FnCalls 1)'!F39</f>
        <v>MMM 2010</v>
      </c>
      <c r="AK407" s="11" t="str">
        <f>'(FnCalls 1)'!F40</f>
        <v>MMM 2010</v>
      </c>
      <c r="AL407" s="11" t="str">
        <f>'(FnCalls 1)'!F41</f>
        <v>MMM 2011</v>
      </c>
      <c r="AM407" s="11" t="str">
        <f>'(FnCalls 1)'!F42</f>
        <v>MMM 2011</v>
      </c>
      <c r="AN407" s="11" t="str">
        <f>'(FnCalls 1)'!F43</f>
        <v>MMM 2011</v>
      </c>
      <c r="AO407" s="11" t="str">
        <f>'(FnCalls 1)'!F44</f>
        <v>MMM 2011</v>
      </c>
      <c r="AP407" s="11" t="str">
        <f>'(FnCalls 1)'!F45</f>
        <v>MMM 2011</v>
      </c>
      <c r="AQ407" s="12" t="str">
        <f>'(FnCalls 1)'!F46</f>
        <v>MMM 2011</v>
      </c>
    </row>
    <row r="408" spans="1:43" ht="12.75" customHeight="1" x14ac:dyDescent="0.2">
      <c r="A408" s="91"/>
      <c r="B408" s="149">
        <f t="shared" ref="B408:AQ408" si="72">0-0</f>
        <v>0</v>
      </c>
      <c r="C408" s="149">
        <f t="shared" si="72"/>
        <v>0</v>
      </c>
      <c r="D408" s="149">
        <f t="shared" si="72"/>
        <v>0</v>
      </c>
      <c r="E408" s="149">
        <f t="shared" si="72"/>
        <v>0</v>
      </c>
      <c r="F408" s="149">
        <f t="shared" si="72"/>
        <v>0</v>
      </c>
      <c r="G408" s="149">
        <f t="shared" si="72"/>
        <v>0</v>
      </c>
      <c r="H408" s="149">
        <f t="shared" si="72"/>
        <v>0</v>
      </c>
      <c r="I408" s="149">
        <f t="shared" si="72"/>
        <v>0</v>
      </c>
      <c r="J408" s="149">
        <f t="shared" si="72"/>
        <v>0</v>
      </c>
      <c r="K408" s="149">
        <f t="shared" si="72"/>
        <v>0</v>
      </c>
      <c r="L408" s="149">
        <f t="shared" si="72"/>
        <v>0</v>
      </c>
      <c r="M408" s="149">
        <f t="shared" si="72"/>
        <v>0</v>
      </c>
      <c r="N408" s="149">
        <f t="shared" si="72"/>
        <v>0</v>
      </c>
      <c r="O408" s="149">
        <f t="shared" si="72"/>
        <v>0</v>
      </c>
      <c r="P408" s="149">
        <f t="shared" si="72"/>
        <v>0</v>
      </c>
      <c r="Q408" s="149">
        <f t="shared" si="72"/>
        <v>0</v>
      </c>
      <c r="R408" s="149">
        <f t="shared" si="72"/>
        <v>0</v>
      </c>
      <c r="S408" s="149">
        <f t="shared" si="72"/>
        <v>0</v>
      </c>
      <c r="T408" s="149">
        <f t="shared" si="72"/>
        <v>0</v>
      </c>
      <c r="U408" s="149">
        <f t="shared" si="72"/>
        <v>0</v>
      </c>
      <c r="V408" s="149">
        <f t="shared" si="72"/>
        <v>0</v>
      </c>
      <c r="W408" s="149">
        <f t="shared" si="72"/>
        <v>0</v>
      </c>
      <c r="X408" s="149">
        <f t="shared" si="72"/>
        <v>0</v>
      </c>
      <c r="Y408" s="149">
        <f t="shared" si="72"/>
        <v>0</v>
      </c>
      <c r="Z408" s="149">
        <f t="shared" si="72"/>
        <v>0</v>
      </c>
      <c r="AA408" s="149">
        <f t="shared" si="72"/>
        <v>0</v>
      </c>
      <c r="AB408" s="149">
        <f t="shared" si="72"/>
        <v>0</v>
      </c>
      <c r="AC408" s="149">
        <f t="shared" si="72"/>
        <v>0</v>
      </c>
      <c r="AD408" s="149">
        <f t="shared" si="72"/>
        <v>0</v>
      </c>
      <c r="AE408" s="149">
        <f t="shared" si="72"/>
        <v>0</v>
      </c>
      <c r="AF408" s="149">
        <f t="shared" si="72"/>
        <v>0</v>
      </c>
      <c r="AG408" s="149">
        <f t="shared" si="72"/>
        <v>0</v>
      </c>
      <c r="AH408" s="149">
        <f t="shared" si="72"/>
        <v>0</v>
      </c>
      <c r="AI408" s="149">
        <f t="shared" si="72"/>
        <v>0</v>
      </c>
      <c r="AJ408" s="149">
        <f t="shared" si="72"/>
        <v>0</v>
      </c>
      <c r="AK408" s="149">
        <f t="shared" si="72"/>
        <v>0</v>
      </c>
      <c r="AL408" s="149">
        <f t="shared" si="72"/>
        <v>0</v>
      </c>
      <c r="AM408" s="149">
        <f t="shared" si="72"/>
        <v>0</v>
      </c>
      <c r="AN408" s="149">
        <f t="shared" si="72"/>
        <v>0</v>
      </c>
      <c r="AO408" s="149">
        <f t="shared" si="72"/>
        <v>0</v>
      </c>
      <c r="AP408" s="149">
        <f t="shared" si="72"/>
        <v>0</v>
      </c>
      <c r="AQ408" s="227">
        <f t="shared" si="72"/>
        <v>0</v>
      </c>
    </row>
    <row r="409" spans="1:43" ht="12.75" customHeight="1" x14ac:dyDescent="0.2">
      <c r="A409" s="1" t="str">
        <f>Labels!B88</f>
        <v>Finished Inventory Turnover (Yr)</v>
      </c>
    </row>
    <row r="410" spans="1:43" ht="12.75" customHeight="1" x14ac:dyDescent="0.2">
      <c r="B410" s="10" t="str">
        <f>'(FnCalls 1)'!F44</f>
        <v>MMM 2011</v>
      </c>
      <c r="C410" s="11" t="str">
        <f>'(FnCalls 1)'!F45</f>
        <v>MMM 2011</v>
      </c>
      <c r="D410" s="12" t="str">
        <f>'(FnCalls 1)'!F46</f>
        <v>MMM 2011</v>
      </c>
    </row>
    <row r="411" spans="1:43" ht="12.75" customHeight="1" x14ac:dyDescent="0.2">
      <c r="A411" s="128" t="str">
        <f>Labels!B255</f>
        <v>Product 1</v>
      </c>
      <c r="B411" s="196">
        <f>IF(F342=0,0,12*'Cogs GM'!E64/F342)</f>
        <v>0</v>
      </c>
      <c r="C411" s="196">
        <f>IF(G342=0,0,12*'Cogs GM'!F64/G342)</f>
        <v>0</v>
      </c>
      <c r="D411" s="263">
        <f>IF(H342=0,0,12*'Cogs GM'!G64/H342)</f>
        <v>0</v>
      </c>
    </row>
    <row r="412" spans="1:43" ht="12.75" customHeight="1" x14ac:dyDescent="0.2">
      <c r="A412" s="134" t="str">
        <f>Labels!B256</f>
        <v>Product 2</v>
      </c>
      <c r="B412" s="198">
        <f>IF(F343=0,0,12*'Cogs GM'!E80/F343)</f>
        <v>0</v>
      </c>
      <c r="C412" s="198">
        <f>IF(G343=0,0,12*'Cogs GM'!F80/G343)</f>
        <v>0</v>
      </c>
      <c r="D412" s="265">
        <f>IF(H343=0,0,12*'Cogs GM'!G80/H343)</f>
        <v>0</v>
      </c>
    </row>
    <row r="413" spans="1:43" ht="12.75" customHeight="1" x14ac:dyDescent="0.2">
      <c r="A413" s="91" t="str">
        <f>Labels!C254</f>
        <v>Total</v>
      </c>
      <c r="B413" s="211">
        <f>IF(F344=0,0,12*IncStmt!E9/F344)</f>
        <v>0</v>
      </c>
      <c r="C413" s="211">
        <f>IF(G344=0,0,12*IncStmt!F9/G344)</f>
        <v>0</v>
      </c>
      <c r="D413" s="262">
        <f>IF(H344=0,0,12*IncStmt!G9/H344)</f>
        <v>0</v>
      </c>
    </row>
    <row r="414" spans="1:43" ht="12.75" customHeight="1" x14ac:dyDescent="0.2">
      <c r="A414" s="1" t="str">
        <f>Labels!B136</f>
        <v>Revenue / Employee</v>
      </c>
    </row>
    <row r="415" spans="1:43" ht="12.75" customHeight="1" x14ac:dyDescent="0.2">
      <c r="B415" s="10" t="str">
        <f>'(FnCalls 1)'!F41</f>
        <v>MMM 2011</v>
      </c>
      <c r="C415" s="11" t="str">
        <f>'(FnCalls 1)'!F42</f>
        <v>MMM 2011</v>
      </c>
      <c r="D415" s="11" t="str">
        <f>'(FnCalls 1)'!F43</f>
        <v>MMM 2011</v>
      </c>
      <c r="E415" s="11" t="str">
        <f>'(FnCalls 1)'!F44</f>
        <v>MMM 2011</v>
      </c>
      <c r="F415" s="11" t="str">
        <f>'(FnCalls 1)'!F45</f>
        <v>MMM 2011</v>
      </c>
      <c r="G415" s="12" t="str">
        <f>'(FnCalls 1)'!F46</f>
        <v>MMM 2011</v>
      </c>
    </row>
    <row r="416" spans="1:43" ht="12.75" customHeight="1" x14ac:dyDescent="0.2">
      <c r="A416" s="128" t="str">
        <f>Labels!B213</f>
        <v>Sales</v>
      </c>
      <c r="B416" s="141">
        <f>IF('Indirect Labor'!B9=0,0,12*IncStmt!B6/'Indirect Labor'!B9)</f>
        <v>0</v>
      </c>
      <c r="C416" s="141">
        <f>IF('Indirect Labor'!C9=0,0,12*IncStmt!C6/'Indirect Labor'!C9)</f>
        <v>0</v>
      </c>
      <c r="D416" s="141">
        <f>IF('Indirect Labor'!D9=0,0,12*IncStmt!D6/'Indirect Labor'!D9)</f>
        <v>0</v>
      </c>
      <c r="E416" s="141">
        <f>IF('Indirect Labor'!E9=0,0,12*IncStmt!E6/'Indirect Labor'!E9)</f>
        <v>0</v>
      </c>
      <c r="F416" s="141">
        <f>IF('Indirect Labor'!F9=0,0,12*IncStmt!F6/'Indirect Labor'!F9)</f>
        <v>0</v>
      </c>
      <c r="G416" s="225">
        <f>IF('Indirect Labor'!G9=0,0,12*IncStmt!G6/'Indirect Labor'!G9)</f>
        <v>0</v>
      </c>
    </row>
    <row r="417" spans="1:7" ht="12.75" customHeight="1" x14ac:dyDescent="0.2">
      <c r="A417" s="134" t="str">
        <f>Labels!B214</f>
        <v>Marketing</v>
      </c>
      <c r="B417" s="145">
        <f>IF('Indirect Labor'!B10=0,0,12*IncStmt!B6/'Indirect Labor'!B10)</f>
        <v>0</v>
      </c>
      <c r="C417" s="145">
        <f>IF('Indirect Labor'!C10=0,0,12*IncStmt!C6/'Indirect Labor'!C10)</f>
        <v>0</v>
      </c>
      <c r="D417" s="145">
        <f>IF('Indirect Labor'!D10=0,0,12*IncStmt!D6/'Indirect Labor'!D10)</f>
        <v>0</v>
      </c>
      <c r="E417" s="145">
        <f>IF('Indirect Labor'!E10=0,0,12*IncStmt!E6/'Indirect Labor'!E10)</f>
        <v>0</v>
      </c>
      <c r="F417" s="145">
        <f>IF('Indirect Labor'!F10=0,0,12*IncStmt!F6/'Indirect Labor'!F10)</f>
        <v>0</v>
      </c>
      <c r="G417" s="226">
        <f>IF('Indirect Labor'!G10=0,0,12*IncStmt!G6/'Indirect Labor'!G10)</f>
        <v>0</v>
      </c>
    </row>
    <row r="418" spans="1:7" ht="12.75" customHeight="1" x14ac:dyDescent="0.2">
      <c r="A418" s="91" t="str">
        <f>Labels!C212</f>
        <v>Total</v>
      </c>
      <c r="B418" s="149">
        <f>IF('Indirect Labor'!B11=0,0,12*IncStmt!B6/'Indirect Labor'!B11)</f>
        <v>0</v>
      </c>
      <c r="C418" s="149">
        <f>IF('Indirect Labor'!C11=0,0,12*IncStmt!C6/'Indirect Labor'!C11)</f>
        <v>0</v>
      </c>
      <c r="D418" s="149">
        <f>IF('Indirect Labor'!D11=0,0,12*IncStmt!D6/'Indirect Labor'!D11)</f>
        <v>0</v>
      </c>
      <c r="E418" s="149">
        <f>IF('Indirect Labor'!E11=0,0,12*IncStmt!E6/'Indirect Labor'!E11)</f>
        <v>0</v>
      </c>
      <c r="F418" s="149">
        <f>IF('Indirect Labor'!F11=0,0,12*IncStmt!F6/'Indirect Labor'!F11)</f>
        <v>0</v>
      </c>
      <c r="G418" s="227">
        <f>IF('Indirect Labor'!G11=0,0,12*IncStmt!G6/'Indirect Labor'!G11)</f>
        <v>0</v>
      </c>
    </row>
  </sheetData>
  <mergeCells count="2">
    <mergeCell ref="A1:D1"/>
    <mergeCell ref="A2:D2"/>
  </mergeCells>
  <pageMargins left="0.25" right="0.25" top="0.5" bottom="0.5" header="0.5" footer="0.5"/>
  <pageSetup paperSize="9" fitToWidth="2" fitToHeight="32767" orientation="landscape" horizontalDpi="300" verticalDpi="300"/>
  <headerFooter alignWithMargins="0"/>
  <legacy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260"/>
  <sheetViews>
    <sheetView zoomScaleNormal="100" workbookViewId="0"/>
  </sheetViews>
  <sheetFormatPr defaultRowHeight="12.75" customHeight="1" x14ac:dyDescent="0.2"/>
  <cols>
    <col min="1" max="1" width="27.85546875" customWidth="1"/>
    <col min="2" max="2" width="25" customWidth="1"/>
    <col min="3" max="3" width="8.42578125" customWidth="1"/>
    <col min="4" max="4" width="19.85546875" customWidth="1"/>
    <col min="5" max="5" width="60.7109375" style="285" customWidth="1"/>
  </cols>
  <sheetData>
    <row r="1" spans="1:5" ht="12.75" customHeight="1" x14ac:dyDescent="0.2">
      <c r="A1" s="320" t="str">
        <f>Inputs!D7</f>
        <v>ABC Corp.</v>
      </c>
      <c r="B1" s="320"/>
      <c r="C1" s="320"/>
      <c r="D1" s="320"/>
    </row>
    <row r="2" spans="1:5" ht="12.75" customHeight="1" x14ac:dyDescent="0.2">
      <c r="A2" s="320" t="e">
        <f>TEXT('(FnCalls 1)'!A41,"m/d/yyyy")&amp;" to "&amp;TEXT('(FnCalls 1)'!A47-1,"m/d/yyyy")&amp;", Scenario "&amp;1</f>
        <v>#VALUE!</v>
      </c>
      <c r="B2" s="320"/>
      <c r="C2" s="320"/>
      <c r="D2" s="320"/>
    </row>
    <row r="3" spans="1:5" ht="12.75" customHeight="1" x14ac:dyDescent="0.2">
      <c r="A3" s="273" t="s">
        <v>1059</v>
      </c>
      <c r="B3" s="274">
        <v>40544</v>
      </c>
    </row>
    <row r="5" spans="1:5" ht="12.75" customHeight="1" x14ac:dyDescent="0.2">
      <c r="A5" s="275" t="s">
        <v>1044</v>
      </c>
      <c r="B5" s="275" t="s">
        <v>1793</v>
      </c>
      <c r="C5" s="275"/>
      <c r="D5" s="275"/>
      <c r="E5" s="283" t="s">
        <v>1202</v>
      </c>
    </row>
    <row r="6" spans="1:5" ht="22.5" customHeight="1" x14ac:dyDescent="0.2">
      <c r="A6" s="273" t="s">
        <v>1601</v>
      </c>
      <c r="B6" s="276" t="s">
        <v>1818</v>
      </c>
      <c r="C6" s="277"/>
      <c r="D6" s="277"/>
      <c r="E6" s="284" t="s">
        <v>502</v>
      </c>
    </row>
    <row r="7" spans="1:5" ht="22.5" customHeight="1" x14ac:dyDescent="0.2">
      <c r="A7" s="273" t="s">
        <v>933</v>
      </c>
      <c r="B7" s="276" t="s">
        <v>1194</v>
      </c>
      <c r="C7" s="277"/>
      <c r="D7" s="277"/>
      <c r="E7" s="284" t="s">
        <v>210</v>
      </c>
    </row>
    <row r="8" spans="1:5" ht="22.5" customHeight="1" x14ac:dyDescent="0.2">
      <c r="A8" s="273" t="s">
        <v>389</v>
      </c>
      <c r="B8" s="276" t="s">
        <v>835</v>
      </c>
      <c r="C8" s="277"/>
      <c r="D8" s="277"/>
      <c r="E8" s="284" t="s">
        <v>230</v>
      </c>
    </row>
    <row r="9" spans="1:5" ht="12.75" customHeight="1" x14ac:dyDescent="0.2">
      <c r="A9" s="273" t="s">
        <v>1472</v>
      </c>
      <c r="B9" s="276" t="s">
        <v>407</v>
      </c>
      <c r="C9" s="277"/>
      <c r="D9" s="277"/>
      <c r="E9" s="284" t="s">
        <v>115</v>
      </c>
    </row>
    <row r="10" spans="1:5" ht="33.75" customHeight="1" x14ac:dyDescent="0.2">
      <c r="A10" s="273" t="s">
        <v>1094</v>
      </c>
      <c r="B10" s="276" t="s">
        <v>1022</v>
      </c>
      <c r="C10" s="277"/>
      <c r="D10" s="277"/>
      <c r="E10" s="284" t="s">
        <v>1572</v>
      </c>
    </row>
    <row r="11" spans="1:5" ht="22.5" customHeight="1" x14ac:dyDescent="0.2">
      <c r="A11" s="273" t="s">
        <v>471</v>
      </c>
      <c r="B11" s="276" t="s">
        <v>1552</v>
      </c>
      <c r="C11" s="277"/>
      <c r="D11" s="277"/>
      <c r="E11" s="284" t="s">
        <v>7</v>
      </c>
    </row>
    <row r="12" spans="1:5" ht="33.75" customHeight="1" x14ac:dyDescent="0.2">
      <c r="A12" s="273" t="s">
        <v>917</v>
      </c>
      <c r="B12" s="276" t="s">
        <v>772</v>
      </c>
      <c r="C12" s="277"/>
      <c r="D12" s="277"/>
      <c r="E12" s="284" t="s">
        <v>548</v>
      </c>
    </row>
    <row r="13" spans="1:5" ht="12.75" customHeight="1" x14ac:dyDescent="0.2">
      <c r="A13" s="273" t="s">
        <v>1545</v>
      </c>
      <c r="B13" s="276" t="s">
        <v>1611</v>
      </c>
      <c r="C13" s="277"/>
      <c r="D13" s="277"/>
      <c r="E13" s="284" t="s">
        <v>154</v>
      </c>
    </row>
    <row r="14" spans="1:5" ht="12.75" customHeight="1" x14ac:dyDescent="0.2">
      <c r="A14" s="273" t="s">
        <v>900</v>
      </c>
      <c r="B14" s="276" t="s">
        <v>900</v>
      </c>
      <c r="C14" s="277"/>
      <c r="D14" s="277"/>
      <c r="E14" s="284" t="s">
        <v>139</v>
      </c>
    </row>
    <row r="15" spans="1:5" ht="12.75" customHeight="1" x14ac:dyDescent="0.2">
      <c r="A15" s="273" t="s">
        <v>1675</v>
      </c>
      <c r="B15" s="276" t="s">
        <v>560</v>
      </c>
      <c r="C15" s="277"/>
      <c r="D15" s="277"/>
      <c r="E15" s="284" t="s">
        <v>846</v>
      </c>
    </row>
    <row r="16" spans="1:5" ht="22.5" customHeight="1" x14ac:dyDescent="0.2">
      <c r="A16" s="273" t="s">
        <v>930</v>
      </c>
      <c r="B16" s="276" t="s">
        <v>1778</v>
      </c>
      <c r="C16" s="277"/>
      <c r="D16" s="277"/>
      <c r="E16" s="284" t="s">
        <v>939</v>
      </c>
    </row>
    <row r="17" spans="1:5" ht="22.5" customHeight="1" x14ac:dyDescent="0.2">
      <c r="A17" s="273" t="s">
        <v>334</v>
      </c>
      <c r="B17" s="276" t="s">
        <v>1371</v>
      </c>
      <c r="C17" s="277"/>
      <c r="D17" s="277"/>
      <c r="E17" s="284" t="s">
        <v>775</v>
      </c>
    </row>
    <row r="18" spans="1:5" ht="12.75" customHeight="1" x14ac:dyDescent="0.2">
      <c r="A18" s="273" t="s">
        <v>373</v>
      </c>
      <c r="B18" s="276" t="s">
        <v>127</v>
      </c>
      <c r="C18" s="277"/>
      <c r="D18" s="277"/>
      <c r="E18" s="284" t="s">
        <v>1394</v>
      </c>
    </row>
    <row r="19" spans="1:5" ht="12.75" customHeight="1" x14ac:dyDescent="0.2">
      <c r="A19" s="273" t="s">
        <v>820</v>
      </c>
      <c r="B19" s="276" t="s">
        <v>1389</v>
      </c>
      <c r="C19" s="277"/>
      <c r="D19" s="277"/>
      <c r="E19" s="284" t="s">
        <v>1326</v>
      </c>
    </row>
    <row r="20" spans="1:5" ht="33.75" customHeight="1" x14ac:dyDescent="0.2">
      <c r="A20" s="273" t="s">
        <v>69</v>
      </c>
      <c r="B20" s="276" t="s">
        <v>894</v>
      </c>
      <c r="C20" s="277"/>
      <c r="D20" s="277"/>
      <c r="E20" s="284" t="s">
        <v>285</v>
      </c>
    </row>
    <row r="21" spans="1:5" ht="22.5" customHeight="1" x14ac:dyDescent="0.2">
      <c r="A21" s="273" t="s">
        <v>92</v>
      </c>
      <c r="B21" s="276" t="s">
        <v>48</v>
      </c>
      <c r="C21" s="277"/>
      <c r="D21" s="277"/>
      <c r="E21" s="284" t="s">
        <v>1164</v>
      </c>
    </row>
    <row r="22" spans="1:5" ht="33.75" customHeight="1" x14ac:dyDescent="0.2">
      <c r="A22" s="273" t="s">
        <v>1148</v>
      </c>
      <c r="B22" s="276" t="s">
        <v>1358</v>
      </c>
      <c r="C22" s="277"/>
      <c r="D22" s="277"/>
      <c r="E22" s="284" t="s">
        <v>1314</v>
      </c>
    </row>
    <row r="23" spans="1:5" ht="33.75" customHeight="1" x14ac:dyDescent="0.2">
      <c r="A23" s="273" t="s">
        <v>600</v>
      </c>
      <c r="B23" s="276" t="s">
        <v>675</v>
      </c>
      <c r="C23" s="277"/>
      <c r="D23" s="277"/>
      <c r="E23" s="284" t="s">
        <v>911</v>
      </c>
    </row>
    <row r="24" spans="1:5" ht="12.75" customHeight="1" x14ac:dyDescent="0.2">
      <c r="A24" s="273" t="s">
        <v>1082</v>
      </c>
      <c r="B24" s="276" t="s">
        <v>172</v>
      </c>
      <c r="C24" s="277"/>
      <c r="D24" s="277"/>
      <c r="E24" s="284" t="s">
        <v>1</v>
      </c>
    </row>
    <row r="25" spans="1:5" ht="57" customHeight="1" x14ac:dyDescent="0.2">
      <c r="A25" s="273" t="s">
        <v>1749</v>
      </c>
      <c r="B25" s="276" t="s">
        <v>427</v>
      </c>
      <c r="C25" s="277"/>
      <c r="D25" s="277"/>
      <c r="E25" s="284" t="s">
        <v>671</v>
      </c>
    </row>
    <row r="26" spans="1:5" ht="12.75" customHeight="1" x14ac:dyDescent="0.2">
      <c r="A26" s="273" t="s">
        <v>693</v>
      </c>
      <c r="B26" s="276" t="s">
        <v>1508</v>
      </c>
      <c r="C26" s="277"/>
      <c r="D26" s="277"/>
      <c r="E26" s="284" t="s">
        <v>484</v>
      </c>
    </row>
    <row r="27" spans="1:5" ht="12.75" customHeight="1" x14ac:dyDescent="0.2">
      <c r="A27" s="273" t="s">
        <v>607</v>
      </c>
      <c r="B27" s="276" t="s">
        <v>398</v>
      </c>
      <c r="C27" s="277"/>
      <c r="D27" s="277"/>
      <c r="E27" s="284" t="s">
        <v>1019</v>
      </c>
    </row>
    <row r="28" spans="1:5" ht="33.75" customHeight="1" x14ac:dyDescent="0.2">
      <c r="A28" s="273" t="s">
        <v>126</v>
      </c>
      <c r="B28" s="276" t="s">
        <v>1540</v>
      </c>
      <c r="C28" s="277"/>
      <c r="D28" s="277"/>
      <c r="E28" s="284" t="s">
        <v>1427</v>
      </c>
    </row>
    <row r="29" spans="1:5" ht="12.75" customHeight="1" x14ac:dyDescent="0.2">
      <c r="A29" s="273" t="s">
        <v>370</v>
      </c>
      <c r="B29" s="276" t="s">
        <v>1564</v>
      </c>
      <c r="C29" s="277"/>
      <c r="D29" s="277"/>
      <c r="E29" s="284" t="s">
        <v>461</v>
      </c>
    </row>
    <row r="30" spans="1:5" ht="45.75" customHeight="1" x14ac:dyDescent="0.2">
      <c r="A30" s="273" t="s">
        <v>1123</v>
      </c>
      <c r="B30" s="276" t="s">
        <v>1801</v>
      </c>
      <c r="C30" s="277"/>
      <c r="D30" s="277"/>
      <c r="E30" s="284" t="s">
        <v>1823</v>
      </c>
    </row>
    <row r="31" spans="1:5" ht="45.75" customHeight="1" x14ac:dyDescent="0.2">
      <c r="A31" s="273" t="s">
        <v>575</v>
      </c>
      <c r="B31" s="276" t="s">
        <v>1221</v>
      </c>
      <c r="C31" s="277"/>
      <c r="D31" s="277"/>
      <c r="E31" s="284" t="s">
        <v>1396</v>
      </c>
    </row>
    <row r="32" spans="1:5" ht="33.75" customHeight="1" x14ac:dyDescent="0.2">
      <c r="A32" s="273" t="s">
        <v>587</v>
      </c>
      <c r="B32" s="276" t="s">
        <v>1289</v>
      </c>
      <c r="C32" s="277"/>
      <c r="D32" s="277"/>
      <c r="E32" s="284" t="s">
        <v>667</v>
      </c>
    </row>
    <row r="33" spans="1:5" ht="45.75" customHeight="1" x14ac:dyDescent="0.2">
      <c r="A33" s="273" t="s">
        <v>1300</v>
      </c>
      <c r="B33" s="276" t="s">
        <v>1289</v>
      </c>
      <c r="C33" s="277"/>
      <c r="D33" s="277"/>
      <c r="E33" s="284" t="s">
        <v>1669</v>
      </c>
    </row>
    <row r="34" spans="1:5" ht="33.75" customHeight="1" x14ac:dyDescent="0.2">
      <c r="A34" s="273" t="s">
        <v>879</v>
      </c>
      <c r="B34" s="276" t="s">
        <v>1516</v>
      </c>
      <c r="C34" s="277"/>
      <c r="D34" s="277"/>
      <c r="E34" s="284" t="s">
        <v>590</v>
      </c>
    </row>
    <row r="35" spans="1:5" ht="45.75" customHeight="1" x14ac:dyDescent="0.2">
      <c r="A35" s="273" t="s">
        <v>736</v>
      </c>
      <c r="B35" s="276" t="s">
        <v>1595</v>
      </c>
      <c r="C35" s="277"/>
      <c r="D35" s="277"/>
      <c r="E35" s="284" t="s">
        <v>1742</v>
      </c>
    </row>
    <row r="36" spans="1:5" ht="33.75" customHeight="1" x14ac:dyDescent="0.2">
      <c r="A36" s="273" t="s">
        <v>896</v>
      </c>
      <c r="B36" s="276" t="s">
        <v>668</v>
      </c>
      <c r="C36" s="277"/>
      <c r="D36" s="277"/>
      <c r="E36" s="284" t="s">
        <v>1369</v>
      </c>
    </row>
    <row r="37" spans="1:5" ht="33.75" customHeight="1" x14ac:dyDescent="0.2">
      <c r="A37" s="273" t="s">
        <v>1678</v>
      </c>
      <c r="B37" s="276" t="s">
        <v>77</v>
      </c>
      <c r="C37" s="277"/>
      <c r="D37" s="277"/>
      <c r="E37" s="284" t="s">
        <v>795</v>
      </c>
    </row>
    <row r="38" spans="1:5" ht="22.5" customHeight="1" x14ac:dyDescent="0.2">
      <c r="A38" s="273" t="s">
        <v>725</v>
      </c>
      <c r="B38" s="276" t="s">
        <v>226</v>
      </c>
      <c r="C38" s="277"/>
      <c r="D38" s="277"/>
      <c r="E38" s="284" t="s">
        <v>64</v>
      </c>
    </row>
    <row r="39" spans="1:5" ht="79.5" customHeight="1" x14ac:dyDescent="0.2">
      <c r="A39" s="273" t="s">
        <v>272</v>
      </c>
      <c r="B39" s="276" t="s">
        <v>1731</v>
      </c>
      <c r="C39" s="277"/>
      <c r="D39" s="277"/>
      <c r="E39" s="284" t="s">
        <v>944</v>
      </c>
    </row>
    <row r="40" spans="1:5" ht="22.5" customHeight="1" x14ac:dyDescent="0.2">
      <c r="A40" s="273" t="s">
        <v>1480</v>
      </c>
      <c r="B40" s="276" t="s">
        <v>704</v>
      </c>
      <c r="C40" s="277"/>
      <c r="D40" s="277"/>
      <c r="E40" s="284" t="s">
        <v>689</v>
      </c>
    </row>
    <row r="41" spans="1:5" ht="12.75" customHeight="1" x14ac:dyDescent="0.2">
      <c r="A41" s="273" t="s">
        <v>1653</v>
      </c>
      <c r="B41" s="276" t="s">
        <v>1226</v>
      </c>
      <c r="C41" s="277"/>
      <c r="D41" s="277"/>
      <c r="E41" s="284" t="s">
        <v>3</v>
      </c>
    </row>
    <row r="42" spans="1:5" ht="22.5" customHeight="1" x14ac:dyDescent="0.2">
      <c r="A42" s="273" t="s">
        <v>1562</v>
      </c>
      <c r="B42" s="276" t="s">
        <v>1585</v>
      </c>
      <c r="C42" s="277"/>
      <c r="D42" s="277"/>
      <c r="E42" s="284" t="s">
        <v>1283</v>
      </c>
    </row>
    <row r="43" spans="1:5" ht="22.5" customHeight="1" x14ac:dyDescent="0.2">
      <c r="A43" s="273" t="s">
        <v>1463</v>
      </c>
      <c r="B43" s="276" t="s">
        <v>1463</v>
      </c>
      <c r="C43" s="277"/>
      <c r="D43" s="277"/>
      <c r="E43" s="284" t="s">
        <v>1513</v>
      </c>
    </row>
    <row r="44" spans="1:5" ht="12.75" customHeight="1" x14ac:dyDescent="0.2">
      <c r="A44" s="273" t="s">
        <v>1459</v>
      </c>
      <c r="B44" s="276" t="s">
        <v>1252</v>
      </c>
      <c r="C44" s="277"/>
      <c r="D44" s="277"/>
      <c r="E44" s="284" t="s">
        <v>904</v>
      </c>
    </row>
    <row r="45" spans="1:5" ht="22.5" customHeight="1" x14ac:dyDescent="0.2">
      <c r="A45" s="273" t="s">
        <v>1594</v>
      </c>
      <c r="B45" s="276" t="s">
        <v>640</v>
      </c>
      <c r="C45" s="277"/>
      <c r="D45" s="277"/>
      <c r="E45" s="284" t="s">
        <v>1167</v>
      </c>
    </row>
    <row r="46" spans="1:5" ht="45.75" customHeight="1" x14ac:dyDescent="0.2">
      <c r="A46" s="273" t="s">
        <v>50</v>
      </c>
      <c r="B46" s="276" t="s">
        <v>588</v>
      </c>
      <c r="C46" s="277"/>
      <c r="D46" s="277"/>
      <c r="E46" s="284" t="s">
        <v>1565</v>
      </c>
    </row>
    <row r="47" spans="1:5" ht="12.75" customHeight="1" x14ac:dyDescent="0.2">
      <c r="A47" s="273" t="s">
        <v>1179</v>
      </c>
      <c r="B47" s="276" t="s">
        <v>1458</v>
      </c>
      <c r="C47" s="277"/>
      <c r="D47" s="277"/>
      <c r="E47" s="284" t="s">
        <v>1072</v>
      </c>
    </row>
    <row r="48" spans="1:5" ht="22.5" customHeight="1" x14ac:dyDescent="0.2">
      <c r="A48" s="273" t="s">
        <v>107</v>
      </c>
      <c r="B48" s="276" t="s">
        <v>121</v>
      </c>
      <c r="C48" s="277"/>
      <c r="D48" s="277"/>
      <c r="E48" s="284" t="s">
        <v>1388</v>
      </c>
    </row>
    <row r="49" spans="1:5" ht="22.5" customHeight="1" x14ac:dyDescent="0.2">
      <c r="A49" s="273" t="s">
        <v>1586</v>
      </c>
      <c r="B49" s="276" t="s">
        <v>441</v>
      </c>
      <c r="C49" s="277"/>
      <c r="D49" s="277"/>
      <c r="E49" s="284" t="s">
        <v>17</v>
      </c>
    </row>
    <row r="50" spans="1:5" ht="57" customHeight="1" x14ac:dyDescent="0.2">
      <c r="A50" s="273" t="s">
        <v>908</v>
      </c>
      <c r="B50" s="276" t="s">
        <v>1598</v>
      </c>
      <c r="C50" s="277"/>
      <c r="D50" s="277"/>
      <c r="E50" s="284" t="s">
        <v>1212</v>
      </c>
    </row>
    <row r="51" spans="1:5" ht="12.75" customHeight="1" x14ac:dyDescent="0.2">
      <c r="A51" s="273" t="s">
        <v>1618</v>
      </c>
      <c r="B51" s="276" t="s">
        <v>1113</v>
      </c>
      <c r="C51" s="277"/>
      <c r="D51" s="277"/>
      <c r="E51" s="284" t="s">
        <v>480</v>
      </c>
    </row>
    <row r="52" spans="1:5" ht="22.5" customHeight="1" x14ac:dyDescent="0.2">
      <c r="A52" s="273" t="s">
        <v>1251</v>
      </c>
      <c r="B52" s="276" t="s">
        <v>16</v>
      </c>
      <c r="C52" s="277"/>
      <c r="D52" s="277"/>
      <c r="E52" s="284" t="s">
        <v>134</v>
      </c>
    </row>
    <row r="53" spans="1:5" ht="57" customHeight="1" x14ac:dyDescent="0.2">
      <c r="A53" s="273" t="s">
        <v>1374</v>
      </c>
      <c r="B53" s="276" t="s">
        <v>198</v>
      </c>
      <c r="C53" s="277"/>
      <c r="D53" s="277"/>
      <c r="E53" s="284" t="s">
        <v>304</v>
      </c>
    </row>
    <row r="54" spans="1:5" ht="22.5" customHeight="1" x14ac:dyDescent="0.2">
      <c r="A54" s="273" t="s">
        <v>494</v>
      </c>
      <c r="B54" s="276" t="s">
        <v>1364</v>
      </c>
      <c r="C54" s="277"/>
      <c r="D54" s="277"/>
      <c r="E54" s="284" t="s">
        <v>1721</v>
      </c>
    </row>
    <row r="55" spans="1:5" ht="45.75" customHeight="1" x14ac:dyDescent="0.2">
      <c r="A55" s="273" t="s">
        <v>0</v>
      </c>
      <c r="B55" s="276" t="s">
        <v>1677</v>
      </c>
      <c r="C55" s="277"/>
      <c r="D55" s="277"/>
      <c r="E55" s="284" t="s">
        <v>71</v>
      </c>
    </row>
    <row r="56" spans="1:5" ht="22.5" customHeight="1" x14ac:dyDescent="0.2">
      <c r="A56" s="273" t="s">
        <v>1324</v>
      </c>
      <c r="B56" s="276" t="s">
        <v>459</v>
      </c>
      <c r="C56" s="277"/>
      <c r="D56" s="277"/>
      <c r="E56" s="284" t="s">
        <v>1014</v>
      </c>
    </row>
    <row r="57" spans="1:5" ht="22.5" customHeight="1" x14ac:dyDescent="0.2">
      <c r="A57" s="273" t="s">
        <v>1789</v>
      </c>
      <c r="B57" s="276" t="s">
        <v>1758</v>
      </c>
      <c r="C57" s="277"/>
      <c r="D57" s="277"/>
      <c r="E57" s="284" t="s">
        <v>1025</v>
      </c>
    </row>
    <row r="58" spans="1:5" ht="12.75" customHeight="1" x14ac:dyDescent="0.2">
      <c r="A58" s="273" t="s">
        <v>1522</v>
      </c>
      <c r="B58" s="276" t="s">
        <v>103</v>
      </c>
      <c r="C58" s="277"/>
      <c r="D58" s="277"/>
      <c r="E58" s="284" t="s">
        <v>1106</v>
      </c>
    </row>
    <row r="59" spans="1:5" ht="102" customHeight="1" x14ac:dyDescent="0.2">
      <c r="A59" s="273" t="s">
        <v>787</v>
      </c>
      <c r="B59" s="276" t="s">
        <v>1186</v>
      </c>
      <c r="C59" s="277"/>
      <c r="D59" s="277"/>
      <c r="E59" s="284" t="s">
        <v>1328</v>
      </c>
    </row>
    <row r="60" spans="1:5" ht="45.75" customHeight="1" x14ac:dyDescent="0.2">
      <c r="A60" s="273" t="s">
        <v>263</v>
      </c>
      <c r="B60" s="276" t="s">
        <v>263</v>
      </c>
      <c r="C60" s="277"/>
      <c r="D60" s="277"/>
      <c r="E60" s="284" t="s">
        <v>1093</v>
      </c>
    </row>
    <row r="61" spans="1:5" ht="12.75" customHeight="1" x14ac:dyDescent="0.2">
      <c r="A61" s="273" t="s">
        <v>824</v>
      </c>
      <c r="B61" s="276" t="s">
        <v>1551</v>
      </c>
      <c r="C61" s="277"/>
      <c r="D61" s="277"/>
      <c r="E61" s="284" t="s">
        <v>1630</v>
      </c>
    </row>
    <row r="62" spans="1:5" ht="22.5" customHeight="1" x14ac:dyDescent="0.2">
      <c r="A62" s="273" t="s">
        <v>763</v>
      </c>
      <c r="B62" s="276" t="s">
        <v>18</v>
      </c>
      <c r="C62" s="277"/>
      <c r="D62" s="277"/>
      <c r="E62" s="284" t="s">
        <v>1743</v>
      </c>
    </row>
    <row r="63" spans="1:5" ht="57" customHeight="1" x14ac:dyDescent="0.2">
      <c r="A63" s="273" t="s">
        <v>641</v>
      </c>
      <c r="B63" s="276" t="s">
        <v>1354</v>
      </c>
      <c r="C63" s="277"/>
      <c r="D63" s="277"/>
      <c r="E63" s="284" t="s">
        <v>489</v>
      </c>
    </row>
    <row r="64" spans="1:5" ht="45.75" customHeight="1" x14ac:dyDescent="0.2">
      <c r="A64" s="273" t="s">
        <v>1319</v>
      </c>
      <c r="B64" s="276" t="s">
        <v>1354</v>
      </c>
      <c r="C64" s="277"/>
      <c r="D64" s="277"/>
      <c r="E64" s="284" t="s">
        <v>1232</v>
      </c>
    </row>
    <row r="65" spans="1:5" ht="12.75" customHeight="1" x14ac:dyDescent="0.2">
      <c r="A65" s="273" t="s">
        <v>1528</v>
      </c>
      <c r="B65" s="276" t="s">
        <v>1639</v>
      </c>
      <c r="C65" s="277"/>
      <c r="D65" s="277"/>
      <c r="E65" s="284" t="s">
        <v>1446</v>
      </c>
    </row>
    <row r="66" spans="1:5" ht="12.75" customHeight="1" x14ac:dyDescent="0.2">
      <c r="A66" s="273" t="s">
        <v>1581</v>
      </c>
      <c r="B66" s="276" t="s">
        <v>979</v>
      </c>
      <c r="C66" s="277"/>
      <c r="D66" s="277"/>
      <c r="E66" s="284" t="s">
        <v>1419</v>
      </c>
    </row>
    <row r="67" spans="1:5" ht="12.75" customHeight="1" x14ac:dyDescent="0.2">
      <c r="A67" s="273" t="s">
        <v>458</v>
      </c>
      <c r="B67" s="276" t="s">
        <v>458</v>
      </c>
      <c r="C67" s="277"/>
      <c r="D67" s="277"/>
      <c r="E67" s="284" t="s">
        <v>606</v>
      </c>
    </row>
    <row r="68" spans="1:5" ht="12.75" customHeight="1" x14ac:dyDescent="0.2">
      <c r="A68" s="273" t="s">
        <v>593</v>
      </c>
      <c r="B68" s="276" t="s">
        <v>969</v>
      </c>
      <c r="C68" s="277"/>
      <c r="D68" s="277"/>
      <c r="E68" s="284" t="s">
        <v>223</v>
      </c>
    </row>
    <row r="69" spans="1:5" ht="12.75" customHeight="1" x14ac:dyDescent="0.2">
      <c r="A69" s="273" t="s">
        <v>1335</v>
      </c>
      <c r="B69" s="276" t="s">
        <v>1723</v>
      </c>
      <c r="C69" s="277"/>
      <c r="D69" s="277"/>
      <c r="E69" s="284" t="s">
        <v>887</v>
      </c>
    </row>
    <row r="70" spans="1:5" ht="12.75" customHeight="1" x14ac:dyDescent="0.2">
      <c r="A70" s="273" t="s">
        <v>49</v>
      </c>
      <c r="B70" s="276" t="s">
        <v>1617</v>
      </c>
      <c r="C70" s="277"/>
      <c r="D70" s="277"/>
      <c r="E70" s="284" t="s">
        <v>1139</v>
      </c>
    </row>
    <row r="71" spans="1:5" ht="12.75" customHeight="1" x14ac:dyDescent="0.2">
      <c r="A71" s="273" t="s">
        <v>1257</v>
      </c>
      <c r="B71" s="276" t="s">
        <v>1795</v>
      </c>
      <c r="C71" s="277"/>
      <c r="D71" s="277"/>
      <c r="E71" s="284" t="s">
        <v>1016</v>
      </c>
    </row>
    <row r="72" spans="1:5" ht="12.75" customHeight="1" x14ac:dyDescent="0.2">
      <c r="A72" s="273" t="s">
        <v>1465</v>
      </c>
      <c r="B72" s="276" t="s">
        <v>1716</v>
      </c>
      <c r="C72" s="277"/>
      <c r="D72" s="277"/>
      <c r="E72" s="284" t="s">
        <v>726</v>
      </c>
    </row>
    <row r="73" spans="1:5" ht="12.75" customHeight="1" x14ac:dyDescent="0.2">
      <c r="A73" s="273" t="s">
        <v>1143</v>
      </c>
      <c r="B73" s="276" t="s">
        <v>1716</v>
      </c>
      <c r="C73" s="277"/>
      <c r="D73" s="277"/>
      <c r="E73" s="284" t="s">
        <v>726</v>
      </c>
    </row>
    <row r="74" spans="1:5" ht="12.75" customHeight="1" x14ac:dyDescent="0.2">
      <c r="A74" s="273" t="s">
        <v>108</v>
      </c>
      <c r="B74" s="276" t="s">
        <v>702</v>
      </c>
      <c r="C74" s="277"/>
      <c r="D74" s="277"/>
      <c r="E74" s="284" t="s">
        <v>1250</v>
      </c>
    </row>
    <row r="75" spans="1:5" ht="22.5" customHeight="1" x14ac:dyDescent="0.2">
      <c r="A75" s="273" t="s">
        <v>408</v>
      </c>
      <c r="B75" s="276" t="s">
        <v>28</v>
      </c>
      <c r="C75" s="277"/>
      <c r="D75" s="277"/>
      <c r="E75" s="284" t="s">
        <v>1206</v>
      </c>
    </row>
    <row r="76" spans="1:5" ht="12.75" customHeight="1" x14ac:dyDescent="0.2">
      <c r="A76" s="273" t="s">
        <v>1259</v>
      </c>
      <c r="B76" s="276" t="s">
        <v>54</v>
      </c>
      <c r="C76" s="277"/>
      <c r="D76" s="277"/>
      <c r="E76" s="284" t="s">
        <v>975</v>
      </c>
    </row>
    <row r="77" spans="1:5" ht="22.5" customHeight="1" x14ac:dyDescent="0.2">
      <c r="A77" s="273" t="s">
        <v>1269</v>
      </c>
      <c r="B77" s="276" t="s">
        <v>1131</v>
      </c>
      <c r="C77" s="277"/>
      <c r="D77" s="277"/>
      <c r="E77" s="284" t="s">
        <v>224</v>
      </c>
    </row>
    <row r="78" spans="1:5" ht="12.75" customHeight="1" x14ac:dyDescent="0.2">
      <c r="A78" s="273" t="s">
        <v>987</v>
      </c>
      <c r="B78" s="276" t="s">
        <v>156</v>
      </c>
      <c r="C78" s="277"/>
      <c r="D78" s="277"/>
      <c r="E78" s="284" t="s">
        <v>1233</v>
      </c>
    </row>
    <row r="79" spans="1:5" ht="12.75" customHeight="1" x14ac:dyDescent="0.2">
      <c r="A79" s="273" t="s">
        <v>1533</v>
      </c>
      <c r="B79" s="276" t="s">
        <v>1060</v>
      </c>
      <c r="C79" s="277"/>
      <c r="D79" s="277"/>
      <c r="E79" s="284" t="s">
        <v>817</v>
      </c>
    </row>
    <row r="80" spans="1:5" ht="45.75" customHeight="1" x14ac:dyDescent="0.2">
      <c r="A80" s="273" t="s">
        <v>871</v>
      </c>
      <c r="B80" s="276" t="s">
        <v>1558</v>
      </c>
      <c r="C80" s="277"/>
      <c r="D80" s="277"/>
      <c r="E80" s="284" t="s">
        <v>1719</v>
      </c>
    </row>
    <row r="81" spans="1:5" ht="57" customHeight="1" x14ac:dyDescent="0.2">
      <c r="A81" s="273" t="s">
        <v>294</v>
      </c>
      <c r="B81" s="276" t="s">
        <v>1246</v>
      </c>
      <c r="C81" s="277"/>
      <c r="D81" s="277"/>
      <c r="E81" s="284" t="s">
        <v>209</v>
      </c>
    </row>
    <row r="82" spans="1:5" ht="12.75" customHeight="1" x14ac:dyDescent="0.2">
      <c r="A82" s="273" t="s">
        <v>1576</v>
      </c>
      <c r="B82" s="276" t="s">
        <v>1828</v>
      </c>
      <c r="C82" s="277"/>
      <c r="D82" s="277"/>
      <c r="E82" s="284" t="s">
        <v>1580</v>
      </c>
    </row>
    <row r="83" spans="1:5" ht="22.5" customHeight="1" x14ac:dyDescent="0.2">
      <c r="A83" s="273" t="s">
        <v>1210</v>
      </c>
      <c r="B83" s="276" t="s">
        <v>802</v>
      </c>
      <c r="C83" s="277"/>
      <c r="D83" s="277"/>
      <c r="E83" s="284" t="s">
        <v>457</v>
      </c>
    </row>
    <row r="84" spans="1:5" ht="22.5" customHeight="1" x14ac:dyDescent="0.2">
      <c r="A84" s="273" t="s">
        <v>511</v>
      </c>
      <c r="B84" s="276" t="s">
        <v>1737</v>
      </c>
      <c r="C84" s="277"/>
      <c r="D84" s="277"/>
      <c r="E84" s="284" t="s">
        <v>1024</v>
      </c>
    </row>
    <row r="85" spans="1:5" ht="22.5" customHeight="1" x14ac:dyDescent="0.2">
      <c r="A85" s="273" t="s">
        <v>436</v>
      </c>
      <c r="B85" s="276" t="s">
        <v>1403</v>
      </c>
      <c r="C85" s="277"/>
      <c r="D85" s="277"/>
      <c r="E85" s="284" t="s">
        <v>397</v>
      </c>
    </row>
    <row r="86" spans="1:5" ht="22.5" customHeight="1" x14ac:dyDescent="0.2">
      <c r="A86" s="273" t="s">
        <v>839</v>
      </c>
      <c r="B86" s="276" t="s">
        <v>221</v>
      </c>
      <c r="C86" s="277"/>
      <c r="D86" s="277"/>
      <c r="E86" s="284" t="s">
        <v>1288</v>
      </c>
    </row>
    <row r="87" spans="1:5" ht="33.75" customHeight="1" x14ac:dyDescent="0.2">
      <c r="A87" s="273" t="s">
        <v>1013</v>
      </c>
      <c r="B87" s="276" t="s">
        <v>855</v>
      </c>
      <c r="C87" s="277"/>
      <c r="D87" s="277"/>
      <c r="E87" s="284" t="s">
        <v>681</v>
      </c>
    </row>
    <row r="88" spans="1:5" ht="57" customHeight="1" x14ac:dyDescent="0.2">
      <c r="A88" s="273" t="s">
        <v>440</v>
      </c>
      <c r="B88" s="276" t="s">
        <v>176</v>
      </c>
      <c r="C88" s="277"/>
      <c r="D88" s="277"/>
      <c r="E88" s="284" t="s">
        <v>13</v>
      </c>
    </row>
    <row r="89" spans="1:5" ht="12.75" customHeight="1" x14ac:dyDescent="0.2">
      <c r="A89" s="273" t="s">
        <v>136</v>
      </c>
      <c r="B89" s="276" t="s">
        <v>1294</v>
      </c>
      <c r="C89" s="277"/>
      <c r="D89" s="277"/>
      <c r="E89" s="284" t="s">
        <v>124</v>
      </c>
    </row>
    <row r="90" spans="1:5" ht="22.5" customHeight="1" x14ac:dyDescent="0.2">
      <c r="A90" s="273" t="s">
        <v>14</v>
      </c>
      <c r="B90" s="276" t="s">
        <v>514</v>
      </c>
      <c r="C90" s="277"/>
      <c r="D90" s="277"/>
      <c r="E90" s="284" t="s">
        <v>897</v>
      </c>
    </row>
    <row r="91" spans="1:5" ht="22.5" customHeight="1" x14ac:dyDescent="0.2">
      <c r="A91" s="273" t="s">
        <v>1118</v>
      </c>
      <c r="B91" s="276" t="s">
        <v>448</v>
      </c>
      <c r="C91" s="277"/>
      <c r="D91" s="277"/>
      <c r="E91" s="284" t="s">
        <v>1593</v>
      </c>
    </row>
    <row r="92" spans="1:5" ht="22.5" customHeight="1" x14ac:dyDescent="0.2">
      <c r="A92" s="273" t="s">
        <v>830</v>
      </c>
      <c r="B92" s="276" t="s">
        <v>727</v>
      </c>
      <c r="C92" s="277"/>
      <c r="D92" s="277"/>
      <c r="E92" s="284" t="s">
        <v>208</v>
      </c>
    </row>
    <row r="93" spans="1:5" ht="12.75" customHeight="1" x14ac:dyDescent="0.2">
      <c r="A93" s="273" t="s">
        <v>1632</v>
      </c>
      <c r="B93" s="276" t="s">
        <v>1526</v>
      </c>
      <c r="C93" s="277"/>
      <c r="D93" s="277"/>
      <c r="E93" s="284" t="s">
        <v>758</v>
      </c>
    </row>
    <row r="94" spans="1:5" ht="22.5" customHeight="1" x14ac:dyDescent="0.2">
      <c r="A94" s="273" t="s">
        <v>1634</v>
      </c>
      <c r="B94" s="276" t="s">
        <v>946</v>
      </c>
      <c r="C94" s="277"/>
      <c r="D94" s="277"/>
      <c r="E94" s="284" t="s">
        <v>1730</v>
      </c>
    </row>
    <row r="95" spans="1:5" ht="33.75" customHeight="1" x14ac:dyDescent="0.2">
      <c r="A95" s="273" t="s">
        <v>635</v>
      </c>
      <c r="B95" s="276" t="s">
        <v>1668</v>
      </c>
      <c r="C95" s="277"/>
      <c r="D95" s="277"/>
      <c r="E95" s="284" t="s">
        <v>565</v>
      </c>
    </row>
    <row r="96" spans="1:5" ht="12.75" customHeight="1" x14ac:dyDescent="0.2">
      <c r="A96" s="273" t="s">
        <v>1198</v>
      </c>
      <c r="B96" s="276" t="s">
        <v>1198</v>
      </c>
      <c r="C96" s="277"/>
      <c r="D96" s="277"/>
      <c r="E96" s="284" t="s">
        <v>1309</v>
      </c>
    </row>
    <row r="97" spans="1:5" ht="22.5" customHeight="1" x14ac:dyDescent="0.2">
      <c r="A97" s="273" t="s">
        <v>1700</v>
      </c>
      <c r="B97" s="276" t="s">
        <v>416</v>
      </c>
      <c r="C97" s="277"/>
      <c r="D97" s="277"/>
      <c r="E97" s="284" t="s">
        <v>1613</v>
      </c>
    </row>
    <row r="98" spans="1:5" ht="22.5" customHeight="1" x14ac:dyDescent="0.2">
      <c r="A98" s="273" t="s">
        <v>1321</v>
      </c>
      <c r="B98" s="276" t="s">
        <v>1644</v>
      </c>
      <c r="C98" s="277"/>
      <c r="D98" s="277"/>
      <c r="E98" s="284" t="s">
        <v>1172</v>
      </c>
    </row>
    <row r="99" spans="1:5" ht="12.75" customHeight="1" x14ac:dyDescent="0.2">
      <c r="A99" s="273" t="s">
        <v>1264</v>
      </c>
      <c r="B99" s="276" t="s">
        <v>293</v>
      </c>
      <c r="C99" s="277"/>
      <c r="D99" s="277"/>
      <c r="E99" s="284" t="s">
        <v>925</v>
      </c>
    </row>
    <row r="100" spans="1:5" ht="22.5" customHeight="1" x14ac:dyDescent="0.2">
      <c r="A100" s="273" t="s">
        <v>756</v>
      </c>
      <c r="B100" s="276" t="s">
        <v>759</v>
      </c>
      <c r="C100" s="277"/>
      <c r="D100" s="277"/>
      <c r="E100" s="284" t="s">
        <v>867</v>
      </c>
    </row>
    <row r="101" spans="1:5" ht="12.75" customHeight="1" x14ac:dyDescent="0.2">
      <c r="A101" s="273" t="s">
        <v>1438</v>
      </c>
      <c r="B101" s="276" t="s">
        <v>761</v>
      </c>
      <c r="C101" s="277"/>
      <c r="D101" s="277"/>
      <c r="E101" s="284" t="s">
        <v>1674</v>
      </c>
    </row>
    <row r="102" spans="1:5" ht="33.75" customHeight="1" x14ac:dyDescent="0.2">
      <c r="A102" s="273" t="s">
        <v>1122</v>
      </c>
      <c r="B102" s="276" t="s">
        <v>1119</v>
      </c>
      <c r="C102" s="277"/>
      <c r="D102" s="277"/>
      <c r="E102" s="284" t="s">
        <v>679</v>
      </c>
    </row>
    <row r="103" spans="1:5" ht="12.75" customHeight="1" x14ac:dyDescent="0.2">
      <c r="A103" s="273" t="s">
        <v>1816</v>
      </c>
      <c r="B103" s="276" t="s">
        <v>945</v>
      </c>
      <c r="C103" s="277"/>
      <c r="D103" s="277"/>
      <c r="E103" s="284" t="s">
        <v>1527</v>
      </c>
    </row>
    <row r="104" spans="1:5" ht="45.75" customHeight="1" x14ac:dyDescent="0.2">
      <c r="A104" s="273" t="s">
        <v>200</v>
      </c>
      <c r="B104" s="276" t="s">
        <v>41</v>
      </c>
      <c r="C104" s="277"/>
      <c r="D104" s="277"/>
      <c r="E104" s="284" t="s">
        <v>25</v>
      </c>
    </row>
    <row r="105" spans="1:5" ht="22.5" customHeight="1" x14ac:dyDescent="0.2">
      <c r="A105" s="273" t="s">
        <v>110</v>
      </c>
      <c r="B105" s="276" t="s">
        <v>41</v>
      </c>
      <c r="C105" s="277"/>
      <c r="D105" s="277"/>
      <c r="E105" s="284" t="s">
        <v>554</v>
      </c>
    </row>
    <row r="106" spans="1:5" ht="22.5" customHeight="1" x14ac:dyDescent="0.2">
      <c r="A106" s="273" t="s">
        <v>842</v>
      </c>
      <c r="B106" s="276" t="s">
        <v>1423</v>
      </c>
      <c r="C106" s="277"/>
      <c r="D106" s="277"/>
      <c r="E106" s="284" t="s">
        <v>117</v>
      </c>
    </row>
    <row r="107" spans="1:5" ht="22.5" customHeight="1" x14ac:dyDescent="0.2">
      <c r="A107" s="273" t="s">
        <v>869</v>
      </c>
      <c r="B107" s="276" t="s">
        <v>806</v>
      </c>
      <c r="C107" s="277"/>
      <c r="D107" s="277"/>
      <c r="E107" s="284" t="s">
        <v>581</v>
      </c>
    </row>
    <row r="108" spans="1:5" ht="22.5" customHeight="1" x14ac:dyDescent="0.2">
      <c r="A108" s="273" t="s">
        <v>954</v>
      </c>
      <c r="B108" s="276" t="s">
        <v>724</v>
      </c>
      <c r="C108" s="277"/>
      <c r="D108" s="277"/>
      <c r="E108" s="284" t="s">
        <v>1411</v>
      </c>
    </row>
    <row r="109" spans="1:5" ht="12.75" customHeight="1" x14ac:dyDescent="0.2">
      <c r="A109" s="273" t="s">
        <v>1784</v>
      </c>
      <c r="B109" s="276" t="s">
        <v>1549</v>
      </c>
      <c r="C109" s="277"/>
      <c r="D109" s="277"/>
      <c r="E109" s="284" t="s">
        <v>616</v>
      </c>
    </row>
    <row r="110" spans="1:5" ht="12.75" customHeight="1" x14ac:dyDescent="0.2">
      <c r="A110" s="273" t="s">
        <v>326</v>
      </c>
      <c r="B110" s="276" t="s">
        <v>910</v>
      </c>
      <c r="C110" s="277"/>
      <c r="D110" s="277"/>
      <c r="E110" s="284" t="s">
        <v>1292</v>
      </c>
    </row>
    <row r="111" spans="1:5" ht="12.75" customHeight="1" x14ac:dyDescent="0.2">
      <c r="A111" s="273" t="s">
        <v>383</v>
      </c>
      <c r="B111" s="276" t="s">
        <v>347</v>
      </c>
      <c r="C111" s="277"/>
      <c r="D111" s="277"/>
      <c r="E111" s="284" t="s">
        <v>493</v>
      </c>
    </row>
    <row r="112" spans="1:5" ht="12.75" customHeight="1" x14ac:dyDescent="0.2">
      <c r="A112" s="273" t="s">
        <v>411</v>
      </c>
      <c r="B112" s="276" t="s">
        <v>1511</v>
      </c>
      <c r="C112" s="277"/>
      <c r="D112" s="277"/>
      <c r="E112" s="284" t="s">
        <v>462</v>
      </c>
    </row>
    <row r="113" spans="1:5" ht="12.75" customHeight="1" x14ac:dyDescent="0.2">
      <c r="A113" s="273" t="s">
        <v>1333</v>
      </c>
      <c r="B113" s="276" t="s">
        <v>1456</v>
      </c>
      <c r="C113" s="277"/>
      <c r="D113" s="277"/>
      <c r="E113" s="284" t="s">
        <v>1779</v>
      </c>
    </row>
    <row r="114" spans="1:5" ht="12.75" customHeight="1" x14ac:dyDescent="0.2">
      <c r="A114" s="273" t="s">
        <v>999</v>
      </c>
      <c r="B114" s="276" t="s">
        <v>1048</v>
      </c>
      <c r="C114" s="277"/>
      <c r="D114" s="277"/>
      <c r="E114" s="284" t="s">
        <v>857</v>
      </c>
    </row>
    <row r="115" spans="1:5" ht="22.5" customHeight="1" x14ac:dyDescent="0.2">
      <c r="A115" s="273" t="s">
        <v>1690</v>
      </c>
      <c r="B115" s="276" t="s">
        <v>1470</v>
      </c>
      <c r="C115" s="277"/>
      <c r="D115" s="277"/>
      <c r="E115" s="284" t="s">
        <v>555</v>
      </c>
    </row>
    <row r="116" spans="1:5" ht="22.5" customHeight="1" x14ac:dyDescent="0.2">
      <c r="A116" s="273" t="s">
        <v>770</v>
      </c>
      <c r="B116" s="276" t="s">
        <v>777</v>
      </c>
      <c r="C116" s="277"/>
      <c r="D116" s="277"/>
      <c r="E116" s="284" t="s">
        <v>1457</v>
      </c>
    </row>
    <row r="117" spans="1:5" ht="22.5" customHeight="1" x14ac:dyDescent="0.2">
      <c r="A117" s="273" t="s">
        <v>634</v>
      </c>
      <c r="B117" s="276" t="s">
        <v>1702</v>
      </c>
      <c r="C117" s="277"/>
      <c r="D117" s="277"/>
      <c r="E117" s="284" t="s">
        <v>814</v>
      </c>
    </row>
    <row r="118" spans="1:5" ht="22.5" customHeight="1" x14ac:dyDescent="0.2">
      <c r="A118" s="273" t="s">
        <v>656</v>
      </c>
      <c r="B118" s="276" t="s">
        <v>877</v>
      </c>
      <c r="C118" s="277"/>
      <c r="D118" s="277"/>
      <c r="E118" s="284" t="s">
        <v>1002</v>
      </c>
    </row>
    <row r="119" spans="1:5" ht="33.75" customHeight="1" x14ac:dyDescent="0.2">
      <c r="A119" s="273" t="s">
        <v>298</v>
      </c>
      <c r="B119" s="276" t="s">
        <v>1641</v>
      </c>
      <c r="C119" s="277"/>
      <c r="D119" s="277"/>
      <c r="E119" s="284" t="s">
        <v>1796</v>
      </c>
    </row>
    <row r="120" spans="1:5" ht="12.75" customHeight="1" x14ac:dyDescent="0.2">
      <c r="A120" s="273" t="s">
        <v>1010</v>
      </c>
      <c r="B120" s="276" t="s">
        <v>1277</v>
      </c>
      <c r="C120" s="277"/>
      <c r="D120" s="277"/>
      <c r="E120" s="284" t="s">
        <v>1402</v>
      </c>
    </row>
    <row r="121" spans="1:5" ht="12.75" customHeight="1" x14ac:dyDescent="0.2">
      <c r="A121" s="273" t="s">
        <v>1657</v>
      </c>
      <c r="B121" s="276" t="s">
        <v>37</v>
      </c>
      <c r="C121" s="277"/>
      <c r="D121" s="277"/>
      <c r="E121" s="284" t="s">
        <v>926</v>
      </c>
    </row>
    <row r="122" spans="1:5" ht="12.75" customHeight="1" x14ac:dyDescent="0.2">
      <c r="A122" s="273" t="s">
        <v>1619</v>
      </c>
      <c r="B122" s="276" t="s">
        <v>721</v>
      </c>
      <c r="C122" s="277"/>
      <c r="D122" s="277"/>
      <c r="E122" s="284" t="s">
        <v>215</v>
      </c>
    </row>
    <row r="123" spans="1:5" ht="22.5" customHeight="1" x14ac:dyDescent="0.2">
      <c r="A123" s="273" t="s">
        <v>405</v>
      </c>
      <c r="B123" s="276" t="s">
        <v>212</v>
      </c>
      <c r="C123" s="277"/>
      <c r="D123" s="277"/>
      <c r="E123" s="284" t="s">
        <v>171</v>
      </c>
    </row>
    <row r="124" spans="1:5" ht="22.5" customHeight="1" x14ac:dyDescent="0.2">
      <c r="A124" s="273" t="s">
        <v>687</v>
      </c>
      <c r="B124" s="276" t="s">
        <v>428</v>
      </c>
      <c r="C124" s="277"/>
      <c r="D124" s="277"/>
      <c r="E124" s="284" t="s">
        <v>1033</v>
      </c>
    </row>
    <row r="125" spans="1:5" ht="12.75" customHeight="1" x14ac:dyDescent="0.2">
      <c r="A125" s="273" t="s">
        <v>803</v>
      </c>
      <c r="B125" s="276" t="s">
        <v>42</v>
      </c>
      <c r="C125" s="277"/>
      <c r="D125" s="277"/>
      <c r="E125" s="284" t="s">
        <v>1302</v>
      </c>
    </row>
    <row r="126" spans="1:5" ht="33.75" customHeight="1" x14ac:dyDescent="0.2">
      <c r="A126" s="273" t="s">
        <v>242</v>
      </c>
      <c r="B126" s="276" t="s">
        <v>259</v>
      </c>
      <c r="C126" s="277"/>
      <c r="D126" s="277"/>
      <c r="E126" s="284" t="s">
        <v>1757</v>
      </c>
    </row>
    <row r="127" spans="1:5" ht="12.75" customHeight="1" x14ac:dyDescent="0.2">
      <c r="A127" s="273" t="s">
        <v>666</v>
      </c>
      <c r="B127" s="276" t="s">
        <v>551</v>
      </c>
      <c r="C127" s="277"/>
      <c r="D127" s="277"/>
      <c r="E127" s="284" t="s">
        <v>1460</v>
      </c>
    </row>
    <row r="128" spans="1:5" ht="12.75" customHeight="1" x14ac:dyDescent="0.2">
      <c r="A128" s="273" t="s">
        <v>1155</v>
      </c>
      <c r="B128" s="276" t="s">
        <v>1712</v>
      </c>
      <c r="C128" s="277"/>
      <c r="D128" s="277"/>
      <c r="E128" s="284" t="s">
        <v>637</v>
      </c>
    </row>
    <row r="129" spans="1:5" ht="12.75" customHeight="1" x14ac:dyDescent="0.2">
      <c r="A129" s="273" t="s">
        <v>1725</v>
      </c>
      <c r="B129" s="276" t="s">
        <v>734</v>
      </c>
      <c r="C129" s="277"/>
      <c r="D129" s="277"/>
      <c r="E129" s="284" t="s">
        <v>1253</v>
      </c>
    </row>
    <row r="130" spans="1:5" ht="33.75" customHeight="1" x14ac:dyDescent="0.2">
      <c r="A130" s="273" t="s">
        <v>1689</v>
      </c>
      <c r="B130" s="276" t="s">
        <v>1453</v>
      </c>
      <c r="C130" s="277"/>
      <c r="D130" s="277"/>
      <c r="E130" s="284" t="s">
        <v>567</v>
      </c>
    </row>
    <row r="131" spans="1:5" ht="33.75" customHeight="1" x14ac:dyDescent="0.2">
      <c r="A131" s="273" t="s">
        <v>452</v>
      </c>
      <c r="B131" s="276" t="s">
        <v>452</v>
      </c>
      <c r="C131" s="277"/>
      <c r="D131" s="277"/>
      <c r="E131" s="284" t="s">
        <v>1579</v>
      </c>
    </row>
    <row r="132" spans="1:5" ht="33.75" customHeight="1" x14ac:dyDescent="0.2">
      <c r="A132" s="273" t="s">
        <v>1482</v>
      </c>
      <c r="B132" s="276" t="s">
        <v>636</v>
      </c>
      <c r="C132" s="277"/>
      <c r="D132" s="277"/>
      <c r="E132" s="284" t="s">
        <v>1195</v>
      </c>
    </row>
    <row r="133" spans="1:5" ht="33.75" customHeight="1" x14ac:dyDescent="0.2">
      <c r="A133" s="273" t="s">
        <v>672</v>
      </c>
      <c r="B133" s="276" t="s">
        <v>1213</v>
      </c>
      <c r="C133" s="277"/>
      <c r="D133" s="277"/>
      <c r="E133" s="284" t="s">
        <v>96</v>
      </c>
    </row>
    <row r="134" spans="1:5" ht="22.5" customHeight="1" x14ac:dyDescent="0.2">
      <c r="A134" s="273" t="s">
        <v>384</v>
      </c>
      <c r="B134" s="276" t="s">
        <v>1213</v>
      </c>
      <c r="C134" s="277"/>
      <c r="D134" s="277"/>
      <c r="E134" s="284" t="s">
        <v>1728</v>
      </c>
    </row>
    <row r="135" spans="1:5" ht="68.25" customHeight="1" x14ac:dyDescent="0.2">
      <c r="A135" s="273" t="s">
        <v>604</v>
      </c>
      <c r="B135" s="276" t="s">
        <v>1234</v>
      </c>
      <c r="C135" s="277"/>
      <c r="D135" s="277"/>
      <c r="E135" s="284" t="s">
        <v>1761</v>
      </c>
    </row>
    <row r="136" spans="1:5" ht="12.75" customHeight="1" x14ac:dyDescent="0.2">
      <c r="A136" s="273" t="s">
        <v>1608</v>
      </c>
      <c r="B136" s="276" t="s">
        <v>234</v>
      </c>
      <c r="C136" s="277"/>
      <c r="D136" s="277"/>
      <c r="E136" s="284" t="s">
        <v>1215</v>
      </c>
    </row>
    <row r="137" spans="1:5" ht="22.5" customHeight="1" x14ac:dyDescent="0.2">
      <c r="A137" s="273" t="s">
        <v>883</v>
      </c>
      <c r="B137" s="276" t="s">
        <v>782</v>
      </c>
      <c r="C137" s="277"/>
      <c r="D137" s="277"/>
      <c r="E137" s="284" t="s">
        <v>1104</v>
      </c>
    </row>
    <row r="138" spans="1:5" ht="22.5" customHeight="1" x14ac:dyDescent="0.2">
      <c r="A138" s="273" t="s">
        <v>742</v>
      </c>
      <c r="B138" s="276" t="s">
        <v>848</v>
      </c>
      <c r="C138" s="277"/>
      <c r="D138" s="277"/>
      <c r="E138" s="284" t="s">
        <v>1794</v>
      </c>
    </row>
    <row r="139" spans="1:5" ht="22.5" customHeight="1" x14ac:dyDescent="0.2">
      <c r="A139" s="273" t="s">
        <v>1825</v>
      </c>
      <c r="B139" s="276" t="s">
        <v>848</v>
      </c>
      <c r="C139" s="277"/>
      <c r="D139" s="277"/>
      <c r="E139" s="284" t="s">
        <v>1794</v>
      </c>
    </row>
    <row r="140" spans="1:5" ht="22.5" customHeight="1" x14ac:dyDescent="0.2">
      <c r="A140" s="273" t="s">
        <v>1483</v>
      </c>
      <c r="B140" s="276" t="s">
        <v>845</v>
      </c>
      <c r="C140" s="277"/>
      <c r="D140" s="277"/>
      <c r="E140" s="284" t="s">
        <v>1350</v>
      </c>
    </row>
    <row r="141" spans="1:5" ht="12.75" customHeight="1" x14ac:dyDescent="0.2">
      <c r="A141" s="273" t="s">
        <v>1061</v>
      </c>
      <c r="B141" s="276" t="s">
        <v>822</v>
      </c>
      <c r="C141" s="277"/>
      <c r="D141" s="277"/>
      <c r="E141" s="284" t="s">
        <v>615</v>
      </c>
    </row>
    <row r="142" spans="1:5" ht="68.25" customHeight="1" x14ac:dyDescent="0.2">
      <c r="A142" s="273" t="s">
        <v>1441</v>
      </c>
      <c r="B142" s="276" t="s">
        <v>1726</v>
      </c>
      <c r="C142" s="277"/>
      <c r="D142" s="277"/>
      <c r="E142" s="284" t="s">
        <v>1717</v>
      </c>
    </row>
    <row r="143" spans="1:5" ht="22.5" customHeight="1" x14ac:dyDescent="0.2">
      <c r="A143" s="273" t="s">
        <v>1556</v>
      </c>
      <c r="B143" s="276" t="s">
        <v>1670</v>
      </c>
      <c r="C143" s="277"/>
      <c r="D143" s="277"/>
      <c r="E143" s="284" t="s">
        <v>1538</v>
      </c>
    </row>
    <row r="144" spans="1:5" ht="33.75" customHeight="1" x14ac:dyDescent="0.2">
      <c r="A144" s="273" t="s">
        <v>27</v>
      </c>
      <c r="B144" s="276" t="s">
        <v>112</v>
      </c>
      <c r="C144" s="277"/>
      <c r="D144" s="277"/>
      <c r="E144" s="284" t="s">
        <v>519</v>
      </c>
    </row>
    <row r="145" spans="1:5" ht="22.5" customHeight="1" x14ac:dyDescent="0.2">
      <c r="A145" s="273" t="s">
        <v>1344</v>
      </c>
      <c r="B145" s="276" t="s">
        <v>112</v>
      </c>
      <c r="C145" s="277"/>
      <c r="D145" s="277"/>
      <c r="E145" s="284" t="s">
        <v>539</v>
      </c>
    </row>
    <row r="146" spans="1:5" ht="22.5" customHeight="1" x14ac:dyDescent="0.2">
      <c r="A146" s="273" t="s">
        <v>703</v>
      </c>
      <c r="B146" s="276" t="s">
        <v>694</v>
      </c>
      <c r="C146" s="277"/>
      <c r="D146" s="277"/>
      <c r="E146" s="284" t="s">
        <v>438</v>
      </c>
    </row>
    <row r="147" spans="1:5" ht="12.75" customHeight="1" x14ac:dyDescent="0.2">
      <c r="A147" s="273" t="s">
        <v>1077</v>
      </c>
      <c r="B147" s="276" t="s">
        <v>82</v>
      </c>
      <c r="C147" s="277"/>
      <c r="D147" s="277"/>
      <c r="E147" s="284" t="s">
        <v>1676</v>
      </c>
    </row>
    <row r="148" spans="1:5" ht="12.75" customHeight="1" x14ac:dyDescent="0.2">
      <c r="A148" s="273" t="s">
        <v>431</v>
      </c>
      <c r="B148" s="276" t="s">
        <v>627</v>
      </c>
      <c r="C148" s="277"/>
      <c r="D148" s="277"/>
      <c r="E148" s="284" t="s">
        <v>1676</v>
      </c>
    </row>
    <row r="149" spans="1:5" ht="12.75" customHeight="1" x14ac:dyDescent="0.2">
      <c r="A149" s="273" t="s">
        <v>1701</v>
      </c>
      <c r="B149" s="276" t="s">
        <v>186</v>
      </c>
      <c r="C149" s="277"/>
      <c r="D149" s="277"/>
      <c r="E149" s="284" t="s">
        <v>290</v>
      </c>
    </row>
    <row r="150" spans="1:5" ht="12.75" customHeight="1" x14ac:dyDescent="0.2">
      <c r="A150" s="273" t="s">
        <v>1420</v>
      </c>
      <c r="B150" s="276" t="s">
        <v>1223</v>
      </c>
      <c r="C150" s="277"/>
      <c r="D150" s="277"/>
      <c r="E150" s="284" t="s">
        <v>872</v>
      </c>
    </row>
    <row r="151" spans="1:5" ht="45.75" customHeight="1" x14ac:dyDescent="0.2">
      <c r="A151" s="273" t="s">
        <v>1681</v>
      </c>
      <c r="B151" s="276" t="s">
        <v>1011</v>
      </c>
      <c r="C151" s="277"/>
      <c r="D151" s="277"/>
      <c r="E151" s="284" t="s">
        <v>1005</v>
      </c>
    </row>
    <row r="152" spans="1:5" ht="33.75" customHeight="1" x14ac:dyDescent="0.2">
      <c r="A152" s="273" t="s">
        <v>424</v>
      </c>
      <c r="B152" s="276" t="s">
        <v>1463</v>
      </c>
      <c r="C152" s="277"/>
      <c r="D152" s="277"/>
      <c r="E152" s="284" t="s">
        <v>1592</v>
      </c>
    </row>
    <row r="153" spans="1:5" ht="12.75" customHeight="1" x14ac:dyDescent="0.2">
      <c r="A153" s="273" t="s">
        <v>1242</v>
      </c>
      <c r="B153" s="276" t="s">
        <v>531</v>
      </c>
      <c r="C153" s="277"/>
      <c r="D153" s="277"/>
      <c r="E153" s="284" t="s">
        <v>847</v>
      </c>
    </row>
    <row r="154" spans="1:5" ht="68.25" customHeight="1" x14ac:dyDescent="0.2">
      <c r="A154" s="273" t="s">
        <v>8</v>
      </c>
      <c r="B154" s="276" t="s">
        <v>520</v>
      </c>
      <c r="C154" s="277"/>
      <c r="D154" s="277"/>
      <c r="E154" s="284" t="s">
        <v>1553</v>
      </c>
    </row>
    <row r="155" spans="1:5" ht="12.75" customHeight="1" x14ac:dyDescent="0.2">
      <c r="A155" s="273" t="s">
        <v>1216</v>
      </c>
      <c r="B155" s="276" t="s">
        <v>252</v>
      </c>
      <c r="C155" s="277"/>
      <c r="D155" s="277"/>
      <c r="E155" s="284" t="s">
        <v>864</v>
      </c>
    </row>
    <row r="156" spans="1:5" ht="12.75" customHeight="1" x14ac:dyDescent="0.2">
      <c r="A156" s="273" t="s">
        <v>469</v>
      </c>
      <c r="B156" s="276" t="s">
        <v>788</v>
      </c>
      <c r="C156" s="277"/>
      <c r="D156" s="277"/>
      <c r="E156" s="284" t="s">
        <v>239</v>
      </c>
    </row>
    <row r="157" spans="1:5" ht="12.75" customHeight="1" x14ac:dyDescent="0.2">
      <c r="A157" s="273" t="s">
        <v>1455</v>
      </c>
      <c r="B157" s="276" t="s">
        <v>1577</v>
      </c>
      <c r="C157" s="277"/>
      <c r="D157" s="277"/>
      <c r="E157" s="284" t="s">
        <v>1433</v>
      </c>
    </row>
    <row r="158" spans="1:5" ht="12.75" customHeight="1" x14ac:dyDescent="0.2">
      <c r="A158" s="273" t="s">
        <v>219</v>
      </c>
      <c r="B158" s="276" t="s">
        <v>1222</v>
      </c>
      <c r="C158" s="277"/>
      <c r="D158" s="277"/>
      <c r="E158" s="284" t="s">
        <v>239</v>
      </c>
    </row>
    <row r="159" spans="1:5" ht="12.75" customHeight="1" x14ac:dyDescent="0.2">
      <c r="A159" s="273" t="s">
        <v>561</v>
      </c>
      <c r="B159" s="276" t="s">
        <v>1307</v>
      </c>
      <c r="C159" s="277"/>
      <c r="D159" s="277"/>
      <c r="E159" s="284" t="s">
        <v>1064</v>
      </c>
    </row>
    <row r="160" spans="1:5" ht="22.5" customHeight="1" x14ac:dyDescent="0.2">
      <c r="A160" s="273" t="s">
        <v>929</v>
      </c>
      <c r="B160" s="276" t="s">
        <v>1227</v>
      </c>
      <c r="C160" s="277"/>
      <c r="D160" s="277"/>
      <c r="E160" s="284" t="s">
        <v>732</v>
      </c>
    </row>
    <row r="161" spans="1:5" ht="33.75" customHeight="1" x14ac:dyDescent="0.2">
      <c r="A161" s="273" t="s">
        <v>1211</v>
      </c>
      <c r="B161" s="276" t="s">
        <v>768</v>
      </c>
      <c r="C161" s="277"/>
      <c r="D161" s="277"/>
      <c r="E161" s="284" t="s">
        <v>1261</v>
      </c>
    </row>
    <row r="162" spans="1:5" ht="12.75" customHeight="1" x14ac:dyDescent="0.2">
      <c r="A162" s="273" t="s">
        <v>313</v>
      </c>
      <c r="B162" s="276" t="s">
        <v>1711</v>
      </c>
      <c r="C162" s="277"/>
      <c r="D162" s="277"/>
      <c r="E162" s="284" t="s">
        <v>1286</v>
      </c>
    </row>
    <row r="163" spans="1:5" ht="33.75" customHeight="1" x14ac:dyDescent="0.2">
      <c r="A163" s="273" t="s">
        <v>786</v>
      </c>
      <c r="B163" s="276" t="s">
        <v>1673</v>
      </c>
      <c r="C163" s="277"/>
      <c r="D163" s="277"/>
      <c r="E163" s="284" t="s">
        <v>678</v>
      </c>
    </row>
    <row r="164" spans="1:5" ht="12.75" customHeight="1" x14ac:dyDescent="0.2">
      <c r="A164" s="273" t="s">
        <v>1671</v>
      </c>
      <c r="B164" s="276" t="s">
        <v>395</v>
      </c>
      <c r="C164" s="277"/>
      <c r="D164" s="277"/>
      <c r="E164" s="284" t="s">
        <v>248</v>
      </c>
    </row>
    <row r="165" spans="1:5" ht="12.75" customHeight="1" x14ac:dyDescent="0.2">
      <c r="A165" s="273" t="s">
        <v>660</v>
      </c>
      <c r="B165" s="276" t="s">
        <v>799</v>
      </c>
      <c r="C165" s="277"/>
      <c r="D165" s="277"/>
      <c r="E165" s="284" t="s">
        <v>958</v>
      </c>
    </row>
    <row r="166" spans="1:5" ht="22.5" customHeight="1" x14ac:dyDescent="0.2">
      <c r="A166" s="273" t="s">
        <v>278</v>
      </c>
      <c r="B166" s="276" t="s">
        <v>978</v>
      </c>
      <c r="C166" s="277"/>
      <c r="D166" s="277"/>
      <c r="E166" s="284" t="s">
        <v>893</v>
      </c>
    </row>
    <row r="167" spans="1:5" ht="22.5" customHeight="1" x14ac:dyDescent="0.2">
      <c r="A167" s="273" t="s">
        <v>1062</v>
      </c>
      <c r="B167" s="276" t="s">
        <v>1062</v>
      </c>
      <c r="C167" s="277"/>
      <c r="D167" s="277"/>
      <c r="E167" s="284" t="s">
        <v>80</v>
      </c>
    </row>
    <row r="168" spans="1:5" ht="12.75" customHeight="1" x14ac:dyDescent="0.2">
      <c r="A168" s="273" t="s">
        <v>1353</v>
      </c>
      <c r="B168" s="276" t="s">
        <v>1693</v>
      </c>
      <c r="C168" s="277"/>
      <c r="D168" s="277"/>
      <c r="E168" s="284" t="s">
        <v>479</v>
      </c>
    </row>
    <row r="169" spans="1:5" ht="22.5" customHeight="1" x14ac:dyDescent="0.2">
      <c r="A169" s="273" t="s">
        <v>961</v>
      </c>
      <c r="B169" s="276" t="s">
        <v>1600</v>
      </c>
      <c r="C169" s="277"/>
      <c r="D169" s="277"/>
      <c r="E169" s="284" t="s">
        <v>1308</v>
      </c>
    </row>
    <row r="170" spans="1:5" ht="22.5" customHeight="1" x14ac:dyDescent="0.2">
      <c r="A170" s="273" t="s">
        <v>1000</v>
      </c>
      <c r="B170" s="276" t="s">
        <v>307</v>
      </c>
      <c r="C170" s="277"/>
      <c r="D170" s="277"/>
      <c r="E170" s="284" t="s">
        <v>463</v>
      </c>
    </row>
    <row r="171" spans="1:5" ht="33.75" customHeight="1" x14ac:dyDescent="0.2">
      <c r="A171" s="273" t="s">
        <v>805</v>
      </c>
      <c r="B171" s="276" t="s">
        <v>938</v>
      </c>
      <c r="C171" s="277"/>
      <c r="D171" s="277"/>
      <c r="E171" s="284" t="s">
        <v>858</v>
      </c>
    </row>
    <row r="172" spans="1:5" ht="22.5" customHeight="1" x14ac:dyDescent="0.2">
      <c r="A172" s="273" t="s">
        <v>977</v>
      </c>
      <c r="B172" s="276" t="s">
        <v>1214</v>
      </c>
      <c r="C172" s="277"/>
      <c r="D172" s="277"/>
      <c r="E172" s="284" t="s">
        <v>1191</v>
      </c>
    </row>
    <row r="173" spans="1:5" ht="12.75" customHeight="1" x14ac:dyDescent="0.2">
      <c r="A173" s="273" t="s">
        <v>1416</v>
      </c>
      <c r="B173" s="276" t="s">
        <v>206</v>
      </c>
      <c r="C173" s="277"/>
      <c r="D173" s="277"/>
      <c r="E173" s="284" t="s">
        <v>1349</v>
      </c>
    </row>
    <row r="174" spans="1:5" ht="22.5" customHeight="1" x14ac:dyDescent="0.2">
      <c r="A174" s="273" t="s">
        <v>1265</v>
      </c>
      <c r="B174" s="276" t="s">
        <v>116</v>
      </c>
      <c r="C174" s="277"/>
      <c r="D174" s="277"/>
      <c r="E174" s="284" t="s">
        <v>705</v>
      </c>
    </row>
    <row r="175" spans="1:5" ht="33.75" customHeight="1" x14ac:dyDescent="0.2">
      <c r="A175" s="273" t="s">
        <v>1492</v>
      </c>
      <c r="B175" s="276" t="s">
        <v>61</v>
      </c>
      <c r="C175" s="277"/>
      <c r="D175" s="277"/>
      <c r="E175" s="284" t="s">
        <v>1486</v>
      </c>
    </row>
    <row r="176" spans="1:5" ht="22.5" customHeight="1" x14ac:dyDescent="0.2">
      <c r="A176" s="273" t="s">
        <v>1036</v>
      </c>
      <c r="B176" s="276" t="s">
        <v>819</v>
      </c>
      <c r="C176" s="277"/>
      <c r="D176" s="277"/>
      <c r="E176" s="284" t="s">
        <v>1368</v>
      </c>
    </row>
    <row r="177" spans="1:5" ht="22.5" customHeight="1" x14ac:dyDescent="0.2">
      <c r="A177" s="273" t="s">
        <v>369</v>
      </c>
      <c r="B177" s="276" t="s">
        <v>1165</v>
      </c>
      <c r="C177" s="277"/>
      <c r="D177" s="277"/>
      <c r="E177" s="284" t="s">
        <v>546</v>
      </c>
    </row>
    <row r="179" spans="1:5" ht="12.75" customHeight="1" x14ac:dyDescent="0.2">
      <c r="A179" s="275" t="s">
        <v>1193</v>
      </c>
      <c r="B179" s="275" t="s">
        <v>94</v>
      </c>
      <c r="C179" s="275" t="s">
        <v>260</v>
      </c>
      <c r="D179" s="275" t="s">
        <v>755</v>
      </c>
      <c r="E179" s="283" t="s">
        <v>1202</v>
      </c>
    </row>
    <row r="180" spans="1:5" ht="12.75" customHeight="1" x14ac:dyDescent="0.2">
      <c r="A180" s="273" t="s">
        <v>338</v>
      </c>
      <c r="B180" s="278" t="s">
        <v>1733</v>
      </c>
      <c r="C180" s="278" t="s">
        <v>128</v>
      </c>
      <c r="D180" s="278" t="s">
        <v>1733</v>
      </c>
      <c r="E180" s="284" t="s">
        <v>329</v>
      </c>
    </row>
    <row r="181" spans="1:5" ht="12.75" customHeight="1" x14ac:dyDescent="0.2">
      <c r="A181" s="273" t="s">
        <v>934</v>
      </c>
      <c r="B181" s="279" t="s">
        <v>1042</v>
      </c>
      <c r="D181" s="279" t="s">
        <v>1733</v>
      </c>
    </row>
    <row r="182" spans="1:5" ht="12.75" customHeight="1" x14ac:dyDescent="0.2">
      <c r="A182" s="273" t="s">
        <v>1026</v>
      </c>
      <c r="B182" s="279" t="s">
        <v>1329</v>
      </c>
    </row>
    <row r="183" spans="1:5" ht="12.75" customHeight="1" x14ac:dyDescent="0.2">
      <c r="A183" s="273" t="s">
        <v>1462</v>
      </c>
      <c r="B183" s="279" t="s">
        <v>1680</v>
      </c>
    </row>
    <row r="185" spans="1:5" ht="12.75" customHeight="1" x14ac:dyDescent="0.2">
      <c r="A185" s="273" t="s">
        <v>351</v>
      </c>
      <c r="B185" s="278" t="s">
        <v>821</v>
      </c>
      <c r="C185" s="278" t="s">
        <v>128</v>
      </c>
      <c r="D185" s="278" t="s">
        <v>430</v>
      </c>
      <c r="E185" s="284" t="s">
        <v>557</v>
      </c>
    </row>
    <row r="186" spans="1:5" ht="12.75" customHeight="1" x14ac:dyDescent="0.2">
      <c r="A186" s="273" t="s">
        <v>739</v>
      </c>
      <c r="B186" s="279" t="s">
        <v>860</v>
      </c>
      <c r="D186" s="279" t="s">
        <v>430</v>
      </c>
    </row>
    <row r="188" spans="1:5" ht="12.75" customHeight="1" x14ac:dyDescent="0.2">
      <c r="A188" s="273" t="s">
        <v>900</v>
      </c>
      <c r="B188" s="278" t="s">
        <v>900</v>
      </c>
      <c r="C188" s="278" t="s">
        <v>128</v>
      </c>
      <c r="D188" s="278" t="s">
        <v>900</v>
      </c>
      <c r="E188" s="284" t="s">
        <v>1819</v>
      </c>
    </row>
    <row r="189" spans="1:5" ht="12.75" customHeight="1" x14ac:dyDescent="0.2">
      <c r="A189" s="273" t="s">
        <v>148</v>
      </c>
      <c r="B189" s="279" t="s">
        <v>765</v>
      </c>
      <c r="C189" s="279" t="s">
        <v>262</v>
      </c>
      <c r="D189" s="279" t="s">
        <v>258</v>
      </c>
    </row>
    <row r="190" spans="1:5" ht="12.75" customHeight="1" x14ac:dyDescent="0.2">
      <c r="A190" s="273" t="s">
        <v>854</v>
      </c>
      <c r="B190" s="280" t="s">
        <v>373</v>
      </c>
      <c r="D190" s="280" t="s">
        <v>1305</v>
      </c>
    </row>
    <row r="191" spans="1:5" ht="12.75" customHeight="1" x14ac:dyDescent="0.2">
      <c r="A191" s="273" t="s">
        <v>40</v>
      </c>
      <c r="B191" s="280" t="s">
        <v>772</v>
      </c>
    </row>
    <row r="192" spans="1:5" ht="12.75" customHeight="1" x14ac:dyDescent="0.2">
      <c r="A192" s="273" t="s">
        <v>339</v>
      </c>
      <c r="B192" s="280" t="s">
        <v>941</v>
      </c>
    </row>
    <row r="193" spans="1:5" ht="12.75" customHeight="1" x14ac:dyDescent="0.2">
      <c r="A193" s="273" t="s">
        <v>333</v>
      </c>
      <c r="B193" s="279" t="s">
        <v>1644</v>
      </c>
    </row>
    <row r="195" spans="1:5" ht="12.75" customHeight="1" x14ac:dyDescent="0.2">
      <c r="A195" s="273" t="s">
        <v>693</v>
      </c>
      <c r="B195" s="278" t="s">
        <v>1696</v>
      </c>
      <c r="C195" s="278" t="s">
        <v>128</v>
      </c>
      <c r="D195" s="278" t="s">
        <v>693</v>
      </c>
      <c r="E195" s="284"/>
    </row>
    <row r="196" spans="1:5" ht="12.75" customHeight="1" x14ac:dyDescent="0.2">
      <c r="A196" s="273" t="s">
        <v>1075</v>
      </c>
      <c r="B196" s="279" t="s">
        <v>945</v>
      </c>
      <c r="D196" s="279" t="s">
        <v>693</v>
      </c>
    </row>
    <row r="197" spans="1:5" ht="12.75" customHeight="1" x14ac:dyDescent="0.2">
      <c r="A197" s="273" t="s">
        <v>1563</v>
      </c>
      <c r="B197" s="279" t="s">
        <v>841</v>
      </c>
    </row>
    <row r="198" spans="1:5" ht="12.75" customHeight="1" x14ac:dyDescent="0.2">
      <c r="A198" s="273" t="s">
        <v>292</v>
      </c>
      <c r="B198" s="279" t="s">
        <v>1705</v>
      </c>
    </row>
    <row r="199" spans="1:5" ht="12.75" customHeight="1" x14ac:dyDescent="0.2">
      <c r="A199" s="273" t="s">
        <v>943</v>
      </c>
      <c r="B199" s="279" t="s">
        <v>612</v>
      </c>
    </row>
    <row r="200" spans="1:5" ht="12.75" customHeight="1" x14ac:dyDescent="0.2">
      <c r="A200" s="273" t="s">
        <v>251</v>
      </c>
      <c r="B200" s="279" t="s">
        <v>1385</v>
      </c>
    </row>
    <row r="201" spans="1:5" ht="12.75" customHeight="1" x14ac:dyDescent="0.2">
      <c r="A201" s="273" t="s">
        <v>1430</v>
      </c>
      <c r="B201" s="279" t="s">
        <v>195</v>
      </c>
    </row>
    <row r="202" spans="1:5" ht="12.75" customHeight="1" x14ac:dyDescent="0.2">
      <c r="A202" s="273" t="s">
        <v>1204</v>
      </c>
      <c r="B202" s="279" t="s">
        <v>1289</v>
      </c>
    </row>
    <row r="203" spans="1:5" ht="12.75" customHeight="1" x14ac:dyDescent="0.2">
      <c r="A203" s="273" t="s">
        <v>141</v>
      </c>
      <c r="B203" s="279" t="s">
        <v>41</v>
      </c>
    </row>
    <row r="205" spans="1:5" ht="12.75" customHeight="1" x14ac:dyDescent="0.2">
      <c r="A205" s="273" t="s">
        <v>370</v>
      </c>
      <c r="B205" s="278" t="s">
        <v>1413</v>
      </c>
      <c r="C205" s="278" t="s">
        <v>128</v>
      </c>
      <c r="D205" s="278" t="s">
        <v>370</v>
      </c>
      <c r="E205" s="284"/>
    </row>
    <row r="206" spans="1:5" ht="12.75" customHeight="1" x14ac:dyDescent="0.2">
      <c r="A206" s="273" t="s">
        <v>1021</v>
      </c>
      <c r="B206" s="279" t="s">
        <v>874</v>
      </c>
      <c r="D206" s="279" t="s">
        <v>370</v>
      </c>
    </row>
    <row r="207" spans="1:5" ht="12.75" customHeight="1" x14ac:dyDescent="0.2">
      <c r="A207" s="273" t="s">
        <v>1467</v>
      </c>
      <c r="B207" s="279" t="s">
        <v>1516</v>
      </c>
    </row>
    <row r="208" spans="1:5" ht="12.75" customHeight="1" x14ac:dyDescent="0.2">
      <c r="A208" s="273" t="s">
        <v>249</v>
      </c>
      <c r="B208" s="279" t="s">
        <v>267</v>
      </c>
    </row>
    <row r="209" spans="1:5" ht="12.75" customHeight="1" x14ac:dyDescent="0.2">
      <c r="A209" s="273" t="s">
        <v>523</v>
      </c>
      <c r="B209" s="279" t="s">
        <v>542</v>
      </c>
    </row>
    <row r="210" spans="1:5" ht="12.75" customHeight="1" x14ac:dyDescent="0.2">
      <c r="A210" s="273" t="s">
        <v>1421</v>
      </c>
      <c r="B210" s="279" t="s">
        <v>263</v>
      </c>
    </row>
    <row r="212" spans="1:5" ht="12.75" customHeight="1" x14ac:dyDescent="0.2">
      <c r="A212" s="273" t="s">
        <v>1252</v>
      </c>
      <c r="B212" s="278" t="s">
        <v>1491</v>
      </c>
      <c r="C212" s="278" t="s">
        <v>128</v>
      </c>
      <c r="D212" s="278" t="s">
        <v>1808</v>
      </c>
      <c r="E212" s="284" t="s">
        <v>190</v>
      </c>
    </row>
    <row r="213" spans="1:5" ht="12.75" customHeight="1" x14ac:dyDescent="0.2">
      <c r="A213" s="273" t="s">
        <v>785</v>
      </c>
      <c r="B213" s="279" t="s">
        <v>1667</v>
      </c>
      <c r="D213" s="279" t="s">
        <v>1491</v>
      </c>
    </row>
    <row r="214" spans="1:5" ht="12.75" customHeight="1" x14ac:dyDescent="0.2">
      <c r="A214" s="273" t="s">
        <v>984</v>
      </c>
      <c r="B214" s="279" t="s">
        <v>1174</v>
      </c>
    </row>
    <row r="216" spans="1:5" ht="12.75" customHeight="1" x14ac:dyDescent="0.2">
      <c r="A216" s="273" t="s">
        <v>932</v>
      </c>
      <c r="B216" s="278" t="s">
        <v>1652</v>
      </c>
      <c r="C216" s="278" t="s">
        <v>128</v>
      </c>
      <c r="D216" s="278" t="s">
        <v>500</v>
      </c>
      <c r="E216" s="284" t="s">
        <v>261</v>
      </c>
    </row>
    <row r="217" spans="1:5" ht="12.75" customHeight="1" x14ac:dyDescent="0.2">
      <c r="A217" s="273" t="s">
        <v>1370</v>
      </c>
      <c r="B217" s="279" t="s">
        <v>991</v>
      </c>
      <c r="D217" s="279" t="s">
        <v>865</v>
      </c>
    </row>
    <row r="218" spans="1:5" ht="12.75" customHeight="1" x14ac:dyDescent="0.2">
      <c r="A218" s="273" t="s">
        <v>684</v>
      </c>
      <c r="B218" s="279" t="s">
        <v>1296</v>
      </c>
    </row>
    <row r="219" spans="1:5" ht="12.75" customHeight="1" x14ac:dyDescent="0.2">
      <c r="A219" s="273" t="s">
        <v>513</v>
      </c>
      <c r="B219" s="279" t="s">
        <v>766</v>
      </c>
    </row>
    <row r="221" spans="1:5" ht="22.5" customHeight="1" x14ac:dyDescent="0.2">
      <c r="A221" s="273" t="s">
        <v>5</v>
      </c>
      <c r="B221" s="278" t="s">
        <v>1357</v>
      </c>
      <c r="C221" s="278" t="s">
        <v>128</v>
      </c>
      <c r="D221" s="278" t="s">
        <v>1357</v>
      </c>
      <c r="E221" s="284" t="s">
        <v>1610</v>
      </c>
    </row>
    <row r="222" spans="1:5" ht="12.75" customHeight="1" x14ac:dyDescent="0.2">
      <c r="A222" s="273" t="s">
        <v>964</v>
      </c>
      <c r="B222" s="279" t="s">
        <v>1661</v>
      </c>
      <c r="D222" s="279" t="s">
        <v>1357</v>
      </c>
    </row>
    <row r="223" spans="1:5" ht="12.75" customHeight="1" x14ac:dyDescent="0.2">
      <c r="A223" s="273" t="s">
        <v>843</v>
      </c>
      <c r="B223" s="279" t="s">
        <v>899</v>
      </c>
    </row>
    <row r="224" spans="1:5" ht="12.75" customHeight="1" x14ac:dyDescent="0.2">
      <c r="A224" s="273" t="s">
        <v>1542</v>
      </c>
      <c r="B224" s="279" t="s">
        <v>1056</v>
      </c>
    </row>
    <row r="226" spans="1:5" ht="12.75" customHeight="1" x14ac:dyDescent="0.2">
      <c r="A226" s="273" t="s">
        <v>458</v>
      </c>
      <c r="B226" s="278" t="s">
        <v>458</v>
      </c>
      <c r="C226" s="278" t="s">
        <v>128</v>
      </c>
      <c r="D226" s="278" t="s">
        <v>458</v>
      </c>
      <c r="E226" s="284" t="s">
        <v>274</v>
      </c>
    </row>
    <row r="227" spans="1:5" ht="12.75" customHeight="1" x14ac:dyDescent="0.2">
      <c r="A227" s="273" t="s">
        <v>163</v>
      </c>
      <c r="B227" s="279" t="s">
        <v>1048</v>
      </c>
      <c r="D227" s="279" t="s">
        <v>1754</v>
      </c>
    </row>
    <row r="228" spans="1:5" ht="12.75" customHeight="1" x14ac:dyDescent="0.2">
      <c r="A228" s="273" t="s">
        <v>1393</v>
      </c>
      <c r="B228" s="279" t="s">
        <v>259</v>
      </c>
    </row>
    <row r="230" spans="1:5" ht="12.75" customHeight="1" x14ac:dyDescent="0.2">
      <c r="A230" s="273" t="s">
        <v>549</v>
      </c>
      <c r="B230" s="278" t="s">
        <v>1716</v>
      </c>
      <c r="C230" s="278" t="s">
        <v>128</v>
      </c>
      <c r="D230" s="278" t="s">
        <v>965</v>
      </c>
      <c r="E230" s="284" t="s">
        <v>898</v>
      </c>
    </row>
    <row r="231" spans="1:5" ht="12.75" customHeight="1" x14ac:dyDescent="0.2">
      <c r="A231" s="273" t="s">
        <v>1666</v>
      </c>
      <c r="B231" s="279" t="s">
        <v>1067</v>
      </c>
      <c r="D231" s="279" t="s">
        <v>1428</v>
      </c>
    </row>
    <row r="233" spans="1:5" ht="12.75" customHeight="1" x14ac:dyDescent="0.2">
      <c r="A233" s="273" t="s">
        <v>289</v>
      </c>
      <c r="B233" s="278" t="s">
        <v>1054</v>
      </c>
      <c r="C233" s="278" t="s">
        <v>128</v>
      </c>
      <c r="D233" s="278" t="s">
        <v>275</v>
      </c>
      <c r="E233" s="284" t="s">
        <v>697</v>
      </c>
    </row>
    <row r="234" spans="1:5" ht="12.75" customHeight="1" x14ac:dyDescent="0.2">
      <c r="A234" s="273" t="s">
        <v>862</v>
      </c>
      <c r="B234" s="279" t="s">
        <v>1089</v>
      </c>
      <c r="D234" s="279" t="s">
        <v>481</v>
      </c>
    </row>
    <row r="235" spans="1:5" ht="12.75" customHeight="1" x14ac:dyDescent="0.2">
      <c r="A235" s="273" t="s">
        <v>1715</v>
      </c>
      <c r="B235" s="279" t="s">
        <v>1090</v>
      </c>
    </row>
    <row r="237" spans="1:5" ht="12.75" customHeight="1" x14ac:dyDescent="0.2">
      <c r="A237" s="273" t="s">
        <v>1198</v>
      </c>
      <c r="B237" s="278" t="s">
        <v>1198</v>
      </c>
      <c r="C237" s="278" t="s">
        <v>128</v>
      </c>
      <c r="D237" s="278" t="s">
        <v>1198</v>
      </c>
      <c r="E237" s="284" t="s">
        <v>509</v>
      </c>
    </row>
    <row r="238" spans="1:5" ht="12.75" customHeight="1" x14ac:dyDescent="0.2">
      <c r="A238" s="273" t="s">
        <v>148</v>
      </c>
      <c r="B238" s="279" t="s">
        <v>936</v>
      </c>
      <c r="C238" s="279" t="s">
        <v>262</v>
      </c>
      <c r="D238" s="279" t="s">
        <v>258</v>
      </c>
    </row>
    <row r="239" spans="1:5" ht="12.75" customHeight="1" x14ac:dyDescent="0.2">
      <c r="A239" s="273" t="s">
        <v>1471</v>
      </c>
      <c r="B239" s="280" t="s">
        <v>1141</v>
      </c>
      <c r="D239" s="280" t="s">
        <v>1822</v>
      </c>
    </row>
    <row r="240" spans="1:5" ht="12.75" customHeight="1" x14ac:dyDescent="0.2">
      <c r="A240" s="273" t="s">
        <v>918</v>
      </c>
      <c r="B240" s="280" t="s">
        <v>1011</v>
      </c>
    </row>
    <row r="241" spans="1:5" ht="12.75" customHeight="1" x14ac:dyDescent="0.2">
      <c r="A241" s="273" t="s">
        <v>823</v>
      </c>
      <c r="B241" s="280" t="s">
        <v>841</v>
      </c>
    </row>
    <row r="242" spans="1:5" ht="12.75" customHeight="1" x14ac:dyDescent="0.2">
      <c r="A242" s="273" t="s">
        <v>333</v>
      </c>
      <c r="B242" s="279" t="s">
        <v>420</v>
      </c>
      <c r="C242" s="279" t="s">
        <v>262</v>
      </c>
    </row>
    <row r="243" spans="1:5" ht="12.75" customHeight="1" x14ac:dyDescent="0.2">
      <c r="A243" s="273" t="s">
        <v>536</v>
      </c>
      <c r="B243" s="280" t="s">
        <v>293</v>
      </c>
    </row>
    <row r="244" spans="1:5" ht="12.75" customHeight="1" x14ac:dyDescent="0.2">
      <c r="A244" s="273" t="s">
        <v>485</v>
      </c>
      <c r="B244" s="280" t="s">
        <v>497</v>
      </c>
    </row>
    <row r="246" spans="1:5" ht="12.75" customHeight="1" x14ac:dyDescent="0.2">
      <c r="A246" s="273" t="s">
        <v>1236</v>
      </c>
      <c r="B246" s="278" t="s">
        <v>1750</v>
      </c>
      <c r="C246" s="278" t="s">
        <v>128</v>
      </c>
      <c r="D246" s="278" t="s">
        <v>347</v>
      </c>
      <c r="E246" s="284" t="s">
        <v>328</v>
      </c>
    </row>
    <row r="247" spans="1:5" ht="12.75" customHeight="1" x14ac:dyDescent="0.2">
      <c r="A247" s="273" t="s">
        <v>1821</v>
      </c>
      <c r="B247" s="279" t="s">
        <v>47</v>
      </c>
      <c r="D247" s="279" t="s">
        <v>336</v>
      </c>
    </row>
    <row r="248" spans="1:5" ht="12.75" customHeight="1" x14ac:dyDescent="0.2">
      <c r="A248" s="273" t="s">
        <v>488</v>
      </c>
      <c r="B248" s="279" t="s">
        <v>881</v>
      </c>
    </row>
    <row r="249" spans="1:5" ht="12.75" customHeight="1" x14ac:dyDescent="0.2">
      <c r="A249" s="273" t="s">
        <v>622</v>
      </c>
      <c r="B249" s="279" t="s">
        <v>1485</v>
      </c>
    </row>
    <row r="250" spans="1:5" ht="12.75" customHeight="1" x14ac:dyDescent="0.2">
      <c r="A250" s="273" t="s">
        <v>1020</v>
      </c>
      <c r="B250" s="279" t="s">
        <v>923</v>
      </c>
    </row>
    <row r="251" spans="1:5" ht="12.75" customHeight="1" x14ac:dyDescent="0.2">
      <c r="A251" s="273" t="s">
        <v>460</v>
      </c>
      <c r="B251" s="279" t="s">
        <v>1484</v>
      </c>
    </row>
    <row r="252" spans="1:5" ht="12.75" customHeight="1" x14ac:dyDescent="0.2">
      <c r="A252" s="273" t="s">
        <v>507</v>
      </c>
      <c r="B252" s="279" t="s">
        <v>1138</v>
      </c>
    </row>
    <row r="254" spans="1:5" ht="22.5" customHeight="1" x14ac:dyDescent="0.2">
      <c r="A254" s="273" t="s">
        <v>1277</v>
      </c>
      <c r="B254" s="278" t="s">
        <v>1277</v>
      </c>
      <c r="C254" s="278" t="s">
        <v>128</v>
      </c>
      <c r="D254" s="278" t="s">
        <v>1277</v>
      </c>
      <c r="E254" s="284" t="s">
        <v>1115</v>
      </c>
    </row>
    <row r="255" spans="1:5" ht="12.75" customHeight="1" x14ac:dyDescent="0.2">
      <c r="A255" s="273" t="s">
        <v>44</v>
      </c>
      <c r="B255" s="279" t="s">
        <v>1442</v>
      </c>
      <c r="D255" s="279" t="s">
        <v>576</v>
      </c>
    </row>
    <row r="256" spans="1:5" ht="12.75" customHeight="1" x14ac:dyDescent="0.2">
      <c r="A256" s="273" t="s">
        <v>45</v>
      </c>
      <c r="B256" s="279" t="s">
        <v>1443</v>
      </c>
    </row>
    <row r="258" spans="1:5" ht="12.75" customHeight="1" x14ac:dyDescent="0.2">
      <c r="A258" s="273" t="s">
        <v>253</v>
      </c>
      <c r="B258" s="278" t="s">
        <v>804</v>
      </c>
      <c r="C258" s="278" t="s">
        <v>128</v>
      </c>
      <c r="D258" s="278" t="s">
        <v>1616</v>
      </c>
      <c r="E258" s="284" t="s">
        <v>510</v>
      </c>
    </row>
    <row r="259" spans="1:5" ht="12.75" customHeight="1" x14ac:dyDescent="0.2">
      <c r="A259" s="273" t="s">
        <v>1588</v>
      </c>
      <c r="B259" s="279" t="s">
        <v>1220</v>
      </c>
      <c r="D259" s="279" t="s">
        <v>302</v>
      </c>
    </row>
    <row r="260" spans="1:5" ht="12.75" customHeight="1" x14ac:dyDescent="0.2">
      <c r="A260" s="273" t="s">
        <v>1573</v>
      </c>
      <c r="B260" s="279" t="s">
        <v>1151</v>
      </c>
    </row>
  </sheetData>
  <mergeCells count="2">
    <mergeCell ref="A1:D1"/>
    <mergeCell ref="A2:D2"/>
  </mergeCells>
  <pageMargins left="0.25" right="0.25" top="0.5" bottom="0.5" header="0.5" footer="0.5"/>
  <pageSetup paperSize="9" fitToHeight="32767" orientation="landscape" horizontalDpi="300" verticalDpi="30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7"/>
  <sheetViews>
    <sheetView zoomScaleNormal="100" workbookViewId="0"/>
  </sheetViews>
  <sheetFormatPr defaultRowHeight="12.75" customHeight="1" x14ac:dyDescent="0.2"/>
  <sheetData>
    <row r="1" spans="1:7" ht="12.75" customHeight="1" x14ac:dyDescent="0.2">
      <c r="A1" s="281">
        <f>'(Tables)'!B368</f>
        <v>0</v>
      </c>
      <c r="B1" s="281">
        <f>BalSht!C8</f>
        <v>0</v>
      </c>
      <c r="C1" s="281">
        <f>BalSht!D8</f>
        <v>0</v>
      </c>
      <c r="D1" s="281">
        <f>BalSht!E8</f>
        <v>0</v>
      </c>
      <c r="E1" s="281">
        <f>BalSht!F8</f>
        <v>0</v>
      </c>
      <c r="F1" s="281">
        <f>BalSht!G8</f>
        <v>0</v>
      </c>
      <c r="G1" s="281">
        <f>BalSht!H8</f>
        <v>0</v>
      </c>
    </row>
    <row r="2" spans="1:7" ht="12.75" customHeight="1" x14ac:dyDescent="0.2">
      <c r="A2" s="281">
        <f>'(Tables)'!B369</f>
        <v>0</v>
      </c>
      <c r="B2" s="281">
        <f>BalSht!C9</f>
        <v>0</v>
      </c>
      <c r="C2" s="281">
        <f>BalSht!D9</f>
        <v>0</v>
      </c>
      <c r="D2" s="281">
        <f>BalSht!E9</f>
        <v>0</v>
      </c>
      <c r="E2" s="281">
        <f>BalSht!F9</f>
        <v>0</v>
      </c>
      <c r="F2" s="281">
        <f>BalSht!G9</f>
        <v>0</v>
      </c>
      <c r="G2" s="281">
        <f>BalSht!H9</f>
        <v>0</v>
      </c>
    </row>
    <row r="3" spans="1:7" ht="12.75" customHeight="1" x14ac:dyDescent="0.2">
      <c r="A3" s="281">
        <f>'(Tables)'!B370</f>
        <v>0</v>
      </c>
      <c r="B3" s="281">
        <f>BalSht!C10</f>
        <v>0</v>
      </c>
      <c r="C3" s="281">
        <f>BalSht!D10</f>
        <v>0</v>
      </c>
      <c r="D3" s="281">
        <f>BalSht!E10</f>
        <v>0</v>
      </c>
      <c r="E3" s="281">
        <f>BalSht!F10</f>
        <v>0</v>
      </c>
      <c r="F3" s="281">
        <f>BalSht!G10</f>
        <v>0</v>
      </c>
      <c r="G3" s="281">
        <f>BalSht!H10</f>
        <v>0</v>
      </c>
    </row>
    <row r="4" spans="1:7" ht="12.75" customHeight="1" x14ac:dyDescent="0.2">
      <c r="A4" s="281">
        <f>'(Tables)'!B371</f>
        <v>0</v>
      </c>
      <c r="B4" s="281">
        <f>BalSht!C11</f>
        <v>0</v>
      </c>
      <c r="C4" s="281">
        <f>BalSht!D11</f>
        <v>0</v>
      </c>
      <c r="D4" s="281">
        <f>BalSht!E11</f>
        <v>0</v>
      </c>
      <c r="E4" s="281">
        <f>BalSht!F11</f>
        <v>0</v>
      </c>
      <c r="F4" s="281">
        <f>BalSht!G11</f>
        <v>0</v>
      </c>
      <c r="G4" s="281">
        <f>BalSht!H11</f>
        <v>0</v>
      </c>
    </row>
    <row r="5" spans="1:7" ht="12.75" customHeight="1" x14ac:dyDescent="0.2">
      <c r="A5" s="281">
        <f>'(Tables)'!B372</f>
        <v>0</v>
      </c>
      <c r="B5" s="281">
        <f>BalSht!C12</f>
        <v>0</v>
      </c>
      <c r="C5" s="281">
        <f>BalSht!D12</f>
        <v>0</v>
      </c>
      <c r="D5" s="281">
        <f>BalSht!E12</f>
        <v>0</v>
      </c>
      <c r="E5" s="281">
        <f>BalSht!F12</f>
        <v>0</v>
      </c>
      <c r="F5" s="281">
        <f>BalSht!G12</f>
        <v>0</v>
      </c>
      <c r="G5" s="281">
        <f>BalSht!H12</f>
        <v>0</v>
      </c>
    </row>
    <row r="6" spans="1:7" ht="12.75" customHeight="1" x14ac:dyDescent="0.2">
      <c r="A6" s="281">
        <f>'(Tables)'!B373</f>
        <v>0</v>
      </c>
      <c r="B6" s="281">
        <f>BalSht!C13</f>
        <v>0</v>
      </c>
      <c r="C6" s="281">
        <f>BalSht!D13</f>
        <v>0</v>
      </c>
      <c r="D6" s="281">
        <f>BalSht!E13</f>
        <v>0</v>
      </c>
      <c r="E6" s="281">
        <f>BalSht!F13</f>
        <v>0</v>
      </c>
      <c r="F6" s="281">
        <f>BalSht!G13</f>
        <v>0</v>
      </c>
      <c r="G6" s="281">
        <f>BalSht!H13</f>
        <v>0</v>
      </c>
    </row>
    <row r="7" spans="1:7" ht="12.75" customHeight="1" x14ac:dyDescent="0.2">
      <c r="A7" s="281">
        <f>'(Tables)'!B380</f>
        <v>0</v>
      </c>
      <c r="B7" s="281">
        <f>BalSht!C17</f>
        <v>0</v>
      </c>
      <c r="C7" s="281">
        <f>BalSht!D17</f>
        <v>0</v>
      </c>
      <c r="D7" s="281">
        <f>BalSht!E17</f>
        <v>0</v>
      </c>
      <c r="E7" s="281">
        <f>BalSht!F17</f>
        <v>0</v>
      </c>
      <c r="F7" s="281">
        <f>BalSht!G17</f>
        <v>0</v>
      </c>
      <c r="G7" s="281">
        <f>BalSht!H17</f>
        <v>0</v>
      </c>
    </row>
    <row r="8" spans="1:7" ht="12.75" customHeight="1" x14ac:dyDescent="0.2">
      <c r="A8" s="281">
        <f>'(Tables)'!B381</f>
        <v>0</v>
      </c>
      <c r="B8" s="281">
        <f>BalSht!C18</f>
        <v>0</v>
      </c>
      <c r="C8" s="281">
        <f>BalSht!D18</f>
        <v>0</v>
      </c>
      <c r="D8" s="281">
        <f>BalSht!E18</f>
        <v>0</v>
      </c>
      <c r="E8" s="281">
        <f>BalSht!F18</f>
        <v>0</v>
      </c>
      <c r="F8" s="281">
        <f>BalSht!G18</f>
        <v>0</v>
      </c>
      <c r="G8" s="281">
        <f>BalSht!H18</f>
        <v>0</v>
      </c>
    </row>
    <row r="9" spans="1:7" ht="12.75" customHeight="1" x14ac:dyDescent="0.2">
      <c r="A9" s="281">
        <f>'(Tables)'!B382</f>
        <v>0</v>
      </c>
      <c r="B9" s="281">
        <f>BalSht!C19</f>
        <v>0</v>
      </c>
      <c r="C9" s="281">
        <f>BalSht!D19</f>
        <v>0</v>
      </c>
      <c r="D9" s="281">
        <f>BalSht!E19</f>
        <v>0</v>
      </c>
      <c r="E9" s="281">
        <f>BalSht!F19</f>
        <v>0</v>
      </c>
      <c r="F9" s="281">
        <f>BalSht!G19</f>
        <v>0</v>
      </c>
      <c r="G9" s="281">
        <f>BalSht!H19</f>
        <v>0</v>
      </c>
    </row>
    <row r="10" spans="1:7" ht="12.75" customHeight="1" x14ac:dyDescent="0.2">
      <c r="A10" s="281">
        <f>'(Tables)'!B383</f>
        <v>0</v>
      </c>
      <c r="B10" s="281">
        <f>BalSht!C20</f>
        <v>0</v>
      </c>
      <c r="C10" s="281">
        <f>BalSht!D20</f>
        <v>0</v>
      </c>
      <c r="D10" s="281">
        <f>BalSht!E20</f>
        <v>0</v>
      </c>
      <c r="E10" s="281">
        <f>BalSht!F20</f>
        <v>0</v>
      </c>
      <c r="F10" s="281">
        <f>BalSht!G20</f>
        <v>0</v>
      </c>
      <c r="G10" s="281">
        <f>BalSht!H20</f>
        <v>0</v>
      </c>
    </row>
    <row r="11" spans="1:7" ht="12.75" customHeight="1" x14ac:dyDescent="0.2">
      <c r="A11" s="281">
        <f>'(Tables)'!B385</f>
        <v>0</v>
      </c>
      <c r="B11" s="281">
        <f>BalSht!C22</f>
        <v>0</v>
      </c>
      <c r="C11" s="281">
        <f>BalSht!D22</f>
        <v>0</v>
      </c>
      <c r="D11" s="281">
        <f>BalSht!E22</f>
        <v>0</v>
      </c>
      <c r="E11" s="281">
        <f>BalSht!F22</f>
        <v>0</v>
      </c>
      <c r="F11" s="281">
        <f>BalSht!G22</f>
        <v>0</v>
      </c>
      <c r="G11" s="281">
        <f>BalSht!H22</f>
        <v>0</v>
      </c>
    </row>
    <row r="12" spans="1:7" ht="12.75" customHeight="1" x14ac:dyDescent="0.2">
      <c r="A12" s="281">
        <f>'(Tables)'!B386</f>
        <v>0</v>
      </c>
      <c r="B12" s="281">
        <f>BalSht!C23</f>
        <v>0</v>
      </c>
      <c r="C12" s="281">
        <f>BalSht!D23</f>
        <v>0</v>
      </c>
      <c r="D12" s="281">
        <f>BalSht!E23</f>
        <v>0</v>
      </c>
      <c r="E12" s="281">
        <f>BalSht!F23</f>
        <v>0</v>
      </c>
      <c r="F12" s="281">
        <f>BalSht!G23</f>
        <v>0</v>
      </c>
      <c r="G12" s="281">
        <f>BalSht!H23</f>
        <v>0</v>
      </c>
    </row>
    <row r="13" spans="1:7" ht="12.75" customHeight="1" x14ac:dyDescent="0.2">
      <c r="A13" s="281">
        <f>'(Tables)'!B387</f>
        <v>0</v>
      </c>
      <c r="B13" s="281">
        <f>BalSht!C24</f>
        <v>0</v>
      </c>
      <c r="C13" s="281">
        <f>BalSht!D24</f>
        <v>0</v>
      </c>
      <c r="D13" s="281">
        <f>BalSht!E24</f>
        <v>0</v>
      </c>
      <c r="E13" s="281">
        <f>BalSht!F24</f>
        <v>0</v>
      </c>
      <c r="F13" s="281">
        <f>BalSht!G24</f>
        <v>0</v>
      </c>
      <c r="G13" s="281">
        <f>BalSht!H24</f>
        <v>0</v>
      </c>
    </row>
    <row r="14" spans="1:7" ht="12.75" customHeight="1" x14ac:dyDescent="0.2">
      <c r="A14" s="281">
        <f>'(Tables)'!B388</f>
        <v>0</v>
      </c>
      <c r="B14" s="281">
        <f>BalSht!C25</f>
        <v>0</v>
      </c>
      <c r="C14" s="281">
        <f>BalSht!D25</f>
        <v>0</v>
      </c>
      <c r="D14" s="281">
        <f>BalSht!E25</f>
        <v>0</v>
      </c>
      <c r="E14" s="281">
        <f>BalSht!F25</f>
        <v>0</v>
      </c>
      <c r="F14" s="281">
        <f>BalSht!G25</f>
        <v>0</v>
      </c>
      <c r="G14" s="281">
        <f>BalSht!H25</f>
        <v>0</v>
      </c>
    </row>
    <row r="15" spans="1:7" ht="12.75" customHeight="1" x14ac:dyDescent="0.2">
      <c r="A15" s="281">
        <f>'(Tables)'!B391</f>
        <v>0</v>
      </c>
      <c r="B15" s="281">
        <f>BalSht!C28</f>
        <v>0</v>
      </c>
      <c r="C15" s="281">
        <f>BalSht!D28</f>
        <v>0</v>
      </c>
      <c r="D15" s="281">
        <f>BalSht!E28</f>
        <v>0</v>
      </c>
      <c r="E15" s="281">
        <f>BalSht!F28</f>
        <v>0</v>
      </c>
      <c r="F15" s="281">
        <f>BalSht!G28</f>
        <v>0</v>
      </c>
      <c r="G15" s="281">
        <f>BalSht!H28</f>
        <v>0</v>
      </c>
    </row>
    <row r="16" spans="1:7" ht="12.75" customHeight="1" x14ac:dyDescent="0.2">
      <c r="A16" s="281">
        <f>'(Tables)'!B392</f>
        <v>0</v>
      </c>
      <c r="B16" s="281">
        <f>BalSht!C29</f>
        <v>0</v>
      </c>
      <c r="C16" s="281">
        <f>BalSht!D29</f>
        <v>0</v>
      </c>
      <c r="D16" s="281">
        <f>BalSht!E29</f>
        <v>0</v>
      </c>
      <c r="E16" s="281">
        <f>BalSht!F29</f>
        <v>0</v>
      </c>
      <c r="F16" s="281">
        <f>BalSht!G29</f>
        <v>0</v>
      </c>
      <c r="G16" s="281">
        <f>BalSht!H29</f>
        <v>0</v>
      </c>
    </row>
    <row r="17" spans="1:7" ht="12.75" customHeight="1" x14ac:dyDescent="0.2">
      <c r="A17" s="281">
        <f>'(Tables)'!B393</f>
        <v>0</v>
      </c>
      <c r="B17" s="281">
        <f>BalSht!C30</f>
        <v>0</v>
      </c>
      <c r="C17" s="281">
        <f>BalSht!D30</f>
        <v>0</v>
      </c>
      <c r="D17" s="281">
        <f>BalSht!E30</f>
        <v>0</v>
      </c>
      <c r="E17" s="281">
        <f>BalSht!F30</f>
        <v>0</v>
      </c>
      <c r="F17" s="281">
        <f>BalSht!G30</f>
        <v>0</v>
      </c>
      <c r="G17" s="281">
        <f>BalSht!H30</f>
        <v>0</v>
      </c>
    </row>
    <row r="19" spans="1:7" ht="12.75" customHeight="1" x14ac:dyDescent="0.2">
      <c r="A19" t="s">
        <v>630</v>
      </c>
    </row>
    <row r="20" spans="1:7" ht="12.75" customHeight="1" x14ac:dyDescent="0.2">
      <c r="A20" t="s">
        <v>1391</v>
      </c>
    </row>
    <row r="21" spans="1:7" ht="12.75" customHeight="1" x14ac:dyDescent="0.2">
      <c r="A21" t="s">
        <v>832</v>
      </c>
    </row>
    <row r="22" spans="1:7" ht="12.75" customHeight="1" x14ac:dyDescent="0.2">
      <c r="A22" t="s">
        <v>1569</v>
      </c>
    </row>
    <row r="23" spans="1:7" ht="12.75" customHeight="1" x14ac:dyDescent="0.2">
      <c r="A23" t="s">
        <v>682</v>
      </c>
    </row>
    <row r="24" spans="1:7" ht="12.75" customHeight="1" x14ac:dyDescent="0.2">
      <c r="A24" t="s">
        <v>320</v>
      </c>
    </row>
    <row r="25" spans="1:7" ht="12.75" customHeight="1" x14ac:dyDescent="0.2">
      <c r="A25" t="s">
        <v>346</v>
      </c>
    </row>
    <row r="26" spans="1:7" ht="12.75" customHeight="1" x14ac:dyDescent="0.2">
      <c r="A26" t="s">
        <v>1570</v>
      </c>
    </row>
    <row r="27" spans="1:7" ht="12.75" customHeight="1" x14ac:dyDescent="0.2">
      <c r="A27" t="s">
        <v>784</v>
      </c>
    </row>
    <row r="28" spans="1:7" ht="12.75" customHeight="1" x14ac:dyDescent="0.2">
      <c r="A28" s="282" t="s">
        <v>1379</v>
      </c>
    </row>
    <row r="29" spans="1:7" ht="12.75" customHeight="1" x14ac:dyDescent="0.2">
      <c r="A29" s="282" t="s">
        <v>1512</v>
      </c>
    </row>
    <row r="30" spans="1:7" ht="12.75" customHeight="1" x14ac:dyDescent="0.2">
      <c r="A30" t="s">
        <v>1497</v>
      </c>
    </row>
    <row r="31" spans="1:7" ht="12.75" customHeight="1" x14ac:dyDescent="0.2">
      <c r="A31" t="s">
        <v>530</v>
      </c>
    </row>
    <row r="32" spans="1:7" ht="12.75" customHeight="1" x14ac:dyDescent="0.2">
      <c r="A32" s="282" t="s">
        <v>178</v>
      </c>
    </row>
    <row r="33" spans="1:1" ht="12.75" customHeight="1" x14ac:dyDescent="0.2">
      <c r="A33" s="282" t="s">
        <v>1448</v>
      </c>
    </row>
    <row r="34" spans="1:1" ht="12.75" customHeight="1" x14ac:dyDescent="0.2">
      <c r="A34" t="s">
        <v>1049</v>
      </c>
    </row>
    <row r="35" spans="1:1" ht="12.75" customHeight="1" x14ac:dyDescent="0.2">
      <c r="A35" t="s">
        <v>1050</v>
      </c>
    </row>
    <row r="36" spans="1:1" ht="12.75" customHeight="1" x14ac:dyDescent="0.2">
      <c r="A36" s="282" t="s">
        <v>475</v>
      </c>
    </row>
    <row r="37" spans="1:1" ht="12.75" customHeight="1" x14ac:dyDescent="0.2">
      <c r="A37" s="282" t="s">
        <v>1651</v>
      </c>
    </row>
    <row r="38" spans="1:1" ht="12.75" customHeight="1" x14ac:dyDescent="0.2">
      <c r="A38" s="282" t="s">
        <v>19</v>
      </c>
    </row>
    <row r="39" spans="1:1" ht="12.75" customHeight="1" x14ac:dyDescent="0.2">
      <c r="A39" s="282" t="s">
        <v>1051</v>
      </c>
    </row>
    <row r="40" spans="1:1" ht="12.75" customHeight="1" x14ac:dyDescent="0.2">
      <c r="A40" s="282" t="s">
        <v>503</v>
      </c>
    </row>
    <row r="41" spans="1:1" ht="12.75" customHeight="1" x14ac:dyDescent="0.2">
      <c r="A41" s="282" t="s">
        <v>204</v>
      </c>
    </row>
    <row r="42" spans="1:1" ht="12.75" customHeight="1" x14ac:dyDescent="0.2">
      <c r="A42" s="282" t="s">
        <v>202</v>
      </c>
    </row>
    <row r="43" spans="1:1" ht="12.75" customHeight="1" x14ac:dyDescent="0.2">
      <c r="A43" s="282" t="s">
        <v>952</v>
      </c>
    </row>
    <row r="44" spans="1:1" ht="12.75" customHeight="1" x14ac:dyDescent="0.2">
      <c r="A44" s="282" t="s">
        <v>177</v>
      </c>
    </row>
    <row r="45" spans="1:1" ht="12.75" customHeight="1" x14ac:dyDescent="0.2">
      <c r="A45" s="282" t="s">
        <v>1116</v>
      </c>
    </row>
    <row r="46" spans="1:1" ht="12.75" customHeight="1" x14ac:dyDescent="0.2">
      <c r="A46" t="s">
        <v>543</v>
      </c>
    </row>
    <row r="47" spans="1:1" ht="12.75" customHeight="1" x14ac:dyDescent="0.2">
      <c r="A47" t="s">
        <v>749</v>
      </c>
    </row>
    <row r="48" spans="1:1" ht="12.75" customHeight="1" x14ac:dyDescent="0.2">
      <c r="A48" t="s">
        <v>683</v>
      </c>
    </row>
    <row r="49" spans="1:1" ht="12.75" customHeight="1" x14ac:dyDescent="0.2">
      <c r="A49" s="282" t="s">
        <v>323</v>
      </c>
    </row>
    <row r="50" spans="1:1" ht="12.75" customHeight="1" x14ac:dyDescent="0.2">
      <c r="A50" s="282" t="s">
        <v>1583</v>
      </c>
    </row>
    <row r="51" spans="1:1" ht="12.75" customHeight="1" x14ac:dyDescent="0.2">
      <c r="A51" s="282" t="s">
        <v>286</v>
      </c>
    </row>
    <row r="52" spans="1:1" ht="12.75" customHeight="1" x14ac:dyDescent="0.2">
      <c r="A52" s="282" t="s">
        <v>288</v>
      </c>
    </row>
    <row r="53" spans="1:1" ht="12.75" customHeight="1" x14ac:dyDescent="0.2">
      <c r="A53" s="282" t="s">
        <v>353</v>
      </c>
    </row>
    <row r="54" spans="1:1" ht="12.75" customHeight="1" x14ac:dyDescent="0.2">
      <c r="A54" s="282" t="s">
        <v>1692</v>
      </c>
    </row>
    <row r="55" spans="1:1" ht="12.75" customHeight="1" x14ac:dyDescent="0.2">
      <c r="A55" s="282" t="s">
        <v>971</v>
      </c>
    </row>
    <row r="56" spans="1:1" ht="12.75" customHeight="1" x14ac:dyDescent="0.2">
      <c r="A56" s="282" t="s">
        <v>973</v>
      </c>
    </row>
    <row r="57" spans="1:1" ht="12.75" customHeight="1" x14ac:dyDescent="0.2">
      <c r="A57" s="282" t="s">
        <v>439</v>
      </c>
    </row>
    <row r="58" spans="1:1" ht="12.75" customHeight="1" x14ac:dyDescent="0.2">
      <c r="A58" s="282" t="s">
        <v>1792</v>
      </c>
    </row>
    <row r="59" spans="1:1" ht="12.75" customHeight="1" x14ac:dyDescent="0.2">
      <c r="A59" s="282" t="s">
        <v>1559</v>
      </c>
    </row>
    <row r="60" spans="1:1" ht="12.75" customHeight="1" x14ac:dyDescent="0.2">
      <c r="A60" s="282" t="s">
        <v>1500</v>
      </c>
    </row>
    <row r="61" spans="1:1" ht="12.75" customHeight="1" x14ac:dyDescent="0.2">
      <c r="A61" s="282" t="s">
        <v>626</v>
      </c>
    </row>
    <row r="62" spans="1:1" ht="12.75" customHeight="1" x14ac:dyDescent="0.2">
      <c r="A62" t="s">
        <v>144</v>
      </c>
    </row>
    <row r="63" spans="1:1" ht="12.75" customHeight="1" x14ac:dyDescent="0.2">
      <c r="A63" t="s">
        <v>811</v>
      </c>
    </row>
    <row r="64" spans="1:1" ht="12.75" customHeight="1" x14ac:dyDescent="0.2">
      <c r="A64" t="s">
        <v>1571</v>
      </c>
    </row>
    <row r="65" spans="1:1" ht="12.75" customHeight="1" x14ac:dyDescent="0.2">
      <c r="A65" t="s">
        <v>1760</v>
      </c>
    </row>
    <row r="66" spans="1:1" ht="12.75" customHeight="1" x14ac:dyDescent="0.2">
      <c r="A66" t="s">
        <v>168</v>
      </c>
    </row>
    <row r="67" spans="1:1" ht="12.75" customHeight="1" x14ac:dyDescent="0.2">
      <c r="A67" t="s">
        <v>1332</v>
      </c>
    </row>
    <row r="68" spans="1:1" ht="12.75" customHeight="1" x14ac:dyDescent="0.2">
      <c r="A68" t="s">
        <v>179</v>
      </c>
    </row>
    <row r="69" spans="1:1" ht="12.75" customHeight="1" x14ac:dyDescent="0.2">
      <c r="A69" t="s">
        <v>26</v>
      </c>
    </row>
    <row r="70" spans="1:1" ht="12.75" customHeight="1" x14ac:dyDescent="0.2">
      <c r="A70" t="s">
        <v>85</v>
      </c>
    </row>
    <row r="71" spans="1:1" ht="12.75" customHeight="1" x14ac:dyDescent="0.2">
      <c r="A71" t="s">
        <v>111</v>
      </c>
    </row>
    <row r="72" spans="1:1" ht="12.75" customHeight="1" x14ac:dyDescent="0.2">
      <c r="A72" t="s">
        <v>1041</v>
      </c>
    </row>
    <row r="73" spans="1:1" ht="12.75" customHeight="1" x14ac:dyDescent="0.2">
      <c r="A73" t="s">
        <v>1004</v>
      </c>
    </row>
    <row r="74" spans="1:1" ht="12.75" customHeight="1" x14ac:dyDescent="0.2">
      <c r="A74" t="s">
        <v>166</v>
      </c>
    </row>
    <row r="75" spans="1:1" ht="12.75" customHeight="1" x14ac:dyDescent="0.2">
      <c r="A75" t="s">
        <v>1550</v>
      </c>
    </row>
    <row r="76" spans="1:1" ht="12.75" customHeight="1" x14ac:dyDescent="0.2">
      <c r="A76" t="s">
        <v>618</v>
      </c>
    </row>
    <row r="77" spans="1:1" ht="12.75" customHeight="1" x14ac:dyDescent="0.2">
      <c r="A77" t="s">
        <v>757</v>
      </c>
    </row>
    <row r="78" spans="1:1" ht="12.75" customHeight="1" x14ac:dyDescent="0.2">
      <c r="A78" t="s">
        <v>1568</v>
      </c>
    </row>
    <row r="79" spans="1:1" ht="12.75" customHeight="1" x14ac:dyDescent="0.2">
      <c r="A79" s="282" t="s">
        <v>1507</v>
      </c>
    </row>
    <row r="80" spans="1:1" ht="12.75" customHeight="1" x14ac:dyDescent="0.2">
      <c r="A80" s="282" t="s">
        <v>1177</v>
      </c>
    </row>
    <row r="81" spans="1:1" ht="12.75" customHeight="1" x14ac:dyDescent="0.2">
      <c r="A81" t="s">
        <v>1053</v>
      </c>
    </row>
    <row r="82" spans="1:1" ht="12.75" customHeight="1" x14ac:dyDescent="0.2">
      <c r="A82" s="282" t="s">
        <v>332</v>
      </c>
    </row>
    <row r="83" spans="1:1" ht="12.75" customHeight="1" x14ac:dyDescent="0.2">
      <c r="A83" s="282" t="s">
        <v>422</v>
      </c>
    </row>
    <row r="84" spans="1:1" ht="12.75" customHeight="1" x14ac:dyDescent="0.2">
      <c r="A84" s="282" t="s">
        <v>1124</v>
      </c>
    </row>
    <row r="85" spans="1:1" ht="12.75" customHeight="1" x14ac:dyDescent="0.2">
      <c r="A85" s="282" t="s">
        <v>1494</v>
      </c>
    </row>
    <row r="86" spans="1:1" ht="12.75" customHeight="1" x14ac:dyDescent="0.2">
      <c r="A86" t="s">
        <v>1546</v>
      </c>
    </row>
    <row r="87" spans="1:1" ht="12.75" customHeight="1" x14ac:dyDescent="0.2">
      <c r="A87" s="282" t="s">
        <v>476</v>
      </c>
    </row>
    <row r="88" spans="1:1" ht="12.75" customHeight="1" x14ac:dyDescent="0.2">
      <c r="A88" s="282" t="s">
        <v>1071</v>
      </c>
    </row>
    <row r="89" spans="1:1" ht="12.75" customHeight="1" x14ac:dyDescent="0.2">
      <c r="A89" s="282" t="s">
        <v>578</v>
      </c>
    </row>
    <row r="90" spans="1:1" ht="12.75" customHeight="1" x14ac:dyDescent="0.2">
      <c r="A90" s="282" t="s">
        <v>1466</v>
      </c>
    </row>
    <row r="91" spans="1:1" ht="12.75" customHeight="1" x14ac:dyDescent="0.2">
      <c r="A91" s="282" t="s">
        <v>1544</v>
      </c>
    </row>
    <row r="92" spans="1:1" ht="12.75" customHeight="1" x14ac:dyDescent="0.2">
      <c r="A92" s="282" t="s">
        <v>1506</v>
      </c>
    </row>
    <row r="93" spans="1:1" ht="12.75" customHeight="1" x14ac:dyDescent="0.2">
      <c r="A93" s="282" t="s">
        <v>1382</v>
      </c>
    </row>
    <row r="94" spans="1:1" ht="12.75" customHeight="1" x14ac:dyDescent="0.2">
      <c r="A94" s="282" t="s">
        <v>1381</v>
      </c>
    </row>
    <row r="95" spans="1:1" ht="12.75" customHeight="1" x14ac:dyDescent="0.2">
      <c r="A95" s="282" t="s">
        <v>114</v>
      </c>
    </row>
    <row r="96" spans="1:1" ht="12.75" customHeight="1" x14ac:dyDescent="0.2">
      <c r="A96" s="282" t="s">
        <v>1813</v>
      </c>
    </row>
    <row r="97" spans="1:1" ht="12.75" customHeight="1" x14ac:dyDescent="0.2">
      <c r="A97" s="282" t="s">
        <v>1343</v>
      </c>
    </row>
    <row r="98" spans="1:1" ht="12.75" customHeight="1" x14ac:dyDescent="0.2">
      <c r="A98" s="282" t="s">
        <v>84</v>
      </c>
    </row>
    <row r="99" spans="1:1" ht="12.75" customHeight="1" x14ac:dyDescent="0.2">
      <c r="A99" s="282" t="s">
        <v>599</v>
      </c>
    </row>
    <row r="100" spans="1:1" ht="12.75" customHeight="1" x14ac:dyDescent="0.2">
      <c r="A100" t="s">
        <v>895</v>
      </c>
    </row>
    <row r="101" spans="1:1" ht="12.75" customHeight="1" x14ac:dyDescent="0.2">
      <c r="A101" s="282" t="s">
        <v>1073</v>
      </c>
    </row>
    <row r="102" spans="1:1" ht="12.75" customHeight="1" x14ac:dyDescent="0.2">
      <c r="A102" s="282" t="s">
        <v>1238</v>
      </c>
    </row>
    <row r="103" spans="1:1" ht="12.75" customHeight="1" x14ac:dyDescent="0.2">
      <c r="A103" s="282" t="s">
        <v>1501</v>
      </c>
    </row>
    <row r="104" spans="1:1" ht="12.75" customHeight="1" x14ac:dyDescent="0.2">
      <c r="A104" s="282" t="s">
        <v>335</v>
      </c>
    </row>
    <row r="105" spans="1:1" ht="12.75" customHeight="1" x14ac:dyDescent="0.2">
      <c r="A105" s="282" t="s">
        <v>213</v>
      </c>
    </row>
    <row r="106" spans="1:1" ht="12.75" customHeight="1" x14ac:dyDescent="0.2">
      <c r="A106" s="282" t="s">
        <v>1157</v>
      </c>
    </row>
    <row r="107" spans="1:1" ht="12.75" customHeight="1" x14ac:dyDescent="0.2">
      <c r="A107" s="282" t="s">
        <v>1602</v>
      </c>
    </row>
    <row r="108" spans="1:1" ht="12.75" customHeight="1" x14ac:dyDescent="0.2">
      <c r="A108" s="282" t="s">
        <v>1503</v>
      </c>
    </row>
    <row r="109" spans="1:1" ht="12.75" customHeight="1" x14ac:dyDescent="0.2">
      <c r="A109" s="282" t="s">
        <v>628</v>
      </c>
    </row>
    <row r="110" spans="1:1" ht="12.75" customHeight="1" x14ac:dyDescent="0.2">
      <c r="A110" s="282" t="s">
        <v>1490</v>
      </c>
    </row>
    <row r="111" spans="1:1" ht="12.75" customHeight="1" x14ac:dyDescent="0.2">
      <c r="A111" s="282" t="s">
        <v>1092</v>
      </c>
    </row>
    <row r="112" spans="1:1" ht="12.75" customHeight="1" x14ac:dyDescent="0.2">
      <c r="A112" s="282" t="s">
        <v>1173</v>
      </c>
    </row>
    <row r="113" spans="1:1" ht="12.75" customHeight="1" x14ac:dyDescent="0.2">
      <c r="A113" s="282" t="s">
        <v>1797</v>
      </c>
    </row>
    <row r="114" spans="1:1" ht="12.75" customHeight="1" x14ac:dyDescent="0.2">
      <c r="A114" s="282" t="s">
        <v>878</v>
      </c>
    </row>
    <row r="115" spans="1:1" ht="12.75" customHeight="1" x14ac:dyDescent="0.2">
      <c r="A115" s="282" t="s">
        <v>1788</v>
      </c>
    </row>
    <row r="116" spans="1:1" ht="12.75" customHeight="1" x14ac:dyDescent="0.2">
      <c r="A116" s="282" t="s">
        <v>1687</v>
      </c>
    </row>
    <row r="117" spans="1:1" ht="12.75" customHeight="1" x14ac:dyDescent="0.2">
      <c r="A117" s="282" t="s">
        <v>783</v>
      </c>
    </row>
    <row r="118" spans="1:1" ht="12.75" customHeight="1" x14ac:dyDescent="0.2">
      <c r="A118" s="282" t="s">
        <v>585</v>
      </c>
    </row>
    <row r="119" spans="1:1" ht="12.75" customHeight="1" x14ac:dyDescent="0.2">
      <c r="A119" s="282" t="s">
        <v>119</v>
      </c>
    </row>
    <row r="120" spans="1:1" ht="12.75" customHeight="1" x14ac:dyDescent="0.2">
      <c r="A120" s="282" t="s">
        <v>1817</v>
      </c>
    </row>
    <row r="121" spans="1:1" ht="12.75" customHeight="1" x14ac:dyDescent="0.2">
      <c r="A121" s="282" t="s">
        <v>631</v>
      </c>
    </row>
    <row r="122" spans="1:1" ht="12.75" customHeight="1" x14ac:dyDescent="0.2">
      <c r="A122" s="282" t="s">
        <v>1120</v>
      </c>
    </row>
    <row r="123" spans="1:1" ht="12.75" customHeight="1" x14ac:dyDescent="0.2">
      <c r="A123" s="282" t="s">
        <v>1362</v>
      </c>
    </row>
    <row r="124" spans="1:1" ht="12.75" customHeight="1" x14ac:dyDescent="0.2">
      <c r="A124" s="282" t="s">
        <v>161</v>
      </c>
    </row>
    <row r="125" spans="1:1" ht="12.75" customHeight="1" x14ac:dyDescent="0.2">
      <c r="A125" s="282" t="s">
        <v>220</v>
      </c>
    </row>
    <row r="126" spans="1:1" ht="12.75" customHeight="1" x14ac:dyDescent="0.2">
      <c r="A126" s="282" t="s">
        <v>931</v>
      </c>
    </row>
    <row r="127" spans="1:1" ht="12.75" customHeight="1" x14ac:dyDescent="0.2">
      <c r="A127" s="282" t="s">
        <v>1180</v>
      </c>
    </row>
  </sheetData>
  <pageMargins left="0.75" right="0.75" top="1" bottom="1" header="0.5" footer="0.5"/>
  <pageSetup paperSize="9" orientation="portrait" horizontalDpi="300" verticalDpi="30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9"/>
  <sheetViews>
    <sheetView zoomScaleNormal="100" workbookViewId="0"/>
  </sheetViews>
  <sheetFormatPr defaultRowHeight="12.75" customHeight="1" x14ac:dyDescent="0.2"/>
  <sheetData>
    <row r="1" spans="1:64" ht="12.75" customHeight="1" x14ac:dyDescent="0.2">
      <c r="A1" t="s">
        <v>1747</v>
      </c>
      <c r="B1" t="str">
        <f>Labels!B167</f>
        <v>Time</v>
      </c>
      <c r="C1" t="s">
        <v>1078</v>
      </c>
      <c r="D1" t="str">
        <f>Labels!E167</f>
        <v>This variable counts time in years, starting from the beginning of model time. For example, it increases in value by 0.25 each quarter. Used in several computations.</v>
      </c>
      <c r="E1" t="s">
        <v>70</v>
      </c>
      <c r="F1" t="str">
        <f>Labels!B131</f>
        <v>Revenue</v>
      </c>
      <c r="G1" t="s">
        <v>951</v>
      </c>
      <c r="H1" t="str">
        <f>Labels!E131</f>
        <v>Sales revenue, segmented by location and time period. Includes product revenue, support revenue and contract revenue. If revenue is accrued, then accrued revenue is used here. This is revenue net of sales returns.</v>
      </c>
      <c r="I1" t="s">
        <v>866</v>
      </c>
      <c r="J1" t="str">
        <f>Labels!B133</f>
        <v>Revenue Growth</v>
      </c>
      <c r="K1" t="s">
        <v>404</v>
      </c>
      <c r="L1" t="str">
        <f>Labels!E133</f>
        <v>Growth rate of revenue compared to the previous time period, segmented by product and time period. This version replaces blanks in the display version with zeros for computation.</v>
      </c>
      <c r="M1" t="s">
        <v>680</v>
      </c>
      <c r="N1" t="str">
        <f>Labels!B116</f>
        <v>Average Prod Price</v>
      </c>
      <c r="O1" t="s">
        <v>840</v>
      </c>
      <c r="P1" t="str">
        <f>Labels!E116</f>
        <v>Average actual selling price including discounts below list price, segmented by product, by time period</v>
      </c>
      <c r="Q1" t="s">
        <v>1008</v>
      </c>
      <c r="R1" t="str">
        <f>Labels!B118</f>
        <v>List Price - Products</v>
      </c>
      <c r="S1" t="s">
        <v>1359</v>
      </c>
      <c r="T1" t="str">
        <f>Labels!E118</f>
        <v>List price of products, by time period. You should enter price data for the first time period, and for any time period and product for which the list price changes.</v>
      </c>
      <c r="U1" t="s">
        <v>659</v>
      </c>
      <c r="V1" t="str">
        <f>Labels!B117</f>
        <v>Discount % - Products</v>
      </c>
      <c r="W1" t="s">
        <v>1133</v>
      </c>
      <c r="X1" t="str">
        <f>Labels!E117</f>
        <v>The percentage by which average selling price of products is reduced from list price, segmented by product, by time period</v>
      </c>
      <c r="Y1" t="s">
        <v>1803</v>
      </c>
      <c r="Z1" t="str">
        <f>Labels!B147</f>
        <v>Sales Units - Products</v>
      </c>
      <c r="AA1" t="s">
        <v>187</v>
      </c>
      <c r="AB1" t="str">
        <f>Labels!E147</f>
        <v>Units of products sold, segmented by product, by time period</v>
      </c>
      <c r="AC1" t="s">
        <v>831</v>
      </c>
      <c r="AD1" t="str">
        <f>Labels!B146</f>
        <v>Product Sales Unit Growth</v>
      </c>
      <c r="AE1" t="s">
        <v>1112</v>
      </c>
      <c r="AF1" t="str">
        <f>Labels!E146</f>
        <v>Assumed growth rate of product sales units, by time period. Based on the scenario the modeler specifies.</v>
      </c>
      <c r="AG1" t="s">
        <v>1181</v>
      </c>
      <c r="AH1" t="str">
        <f>Labels!B39</f>
        <v>Cost of Goods &amp; Services</v>
      </c>
      <c r="AI1" t="s">
        <v>100</v>
      </c>
      <c r="AJ1" t="str">
        <f>Labels!E39</f>
        <v>Cost of goods and services for sales accrued per time period, segmented by product, by cost type, and by time. Includes cost of goods for products; also includes cost of services for support and contracts, if they are included in the model.
The model distinguishs COGS from direct costs for products, because production units may not equal units sold. This distinction is not needed for support services or contract sales.</v>
      </c>
      <c r="AK1" t="s">
        <v>1699</v>
      </c>
      <c r="AL1" t="str">
        <f>Labels!B74</f>
        <v>Gross Margin</v>
      </c>
      <c r="AM1" t="s">
        <v>1099</v>
      </c>
      <c r="AN1" t="str">
        <f>Labels!E74</f>
        <v>Gross margin amount, segmented by sales location, for each time period</v>
      </c>
      <c r="AO1" t="s">
        <v>1504</v>
      </c>
      <c r="AP1" t="str">
        <f>Labels!B75</f>
        <v>Gross Margin %</v>
      </c>
      <c r="AQ1" t="s">
        <v>342</v>
      </c>
      <c r="AR1" t="str">
        <f>Labels!E75</f>
        <v>Gross margin percent (gross margin / revenue), segmented by product and by time period</v>
      </c>
      <c r="AS1" t="s">
        <v>1469</v>
      </c>
      <c r="AT1" t="str">
        <f>Labels!B63</f>
        <v>Employee Count</v>
      </c>
      <c r="AU1" t="s">
        <v>349</v>
      </c>
      <c r="AV1" t="str">
        <f>Labels!E63</f>
        <v>Employee headcount, segmented by department and job level, by time period. The employee count is rounded to half-integers.
Headcount is determined by explicit input data, and in some versions, by a revenue-driven formula for later time periods.</v>
      </c>
      <c r="AW1" t="s">
        <v>1076</v>
      </c>
      <c r="AX1" t="str">
        <f>Labels!B170</f>
        <v>Average Wage</v>
      </c>
      <c r="AY1" t="s">
        <v>1642</v>
      </c>
      <c r="AZ1" t="str">
        <f>Labels!E170</f>
        <v>The average wage payment per time period to each employee, segmented by department and job level</v>
      </c>
      <c r="BA1" t="s">
        <v>1140</v>
      </c>
      <c r="BB1" t="str">
        <f>Labels!B175</f>
        <v>Wage increase %</v>
      </c>
      <c r="BC1" t="s">
        <v>1248</v>
      </c>
      <c r="BD1" t="str">
        <f>Labels!E175</f>
        <v>The rate of increase of wage rates, by time period. The variable 'Wage Increase Annual?' determines whether this rate of increase is interpreted as an annual rate spread over all time periods, or as the actual rate that is applied in each time period.</v>
      </c>
      <c r="BE1" t="s">
        <v>137</v>
      </c>
      <c r="BF1" t="str">
        <f>Labels!B172</f>
        <v>Wage Benefits %</v>
      </c>
      <c r="BG1" t="s">
        <v>63</v>
      </c>
      <c r="BH1" t="str">
        <f>Labels!E172</f>
        <v>Employee benefits expense, as a percentage of wages, excluding bonuses and commissions</v>
      </c>
      <c r="BI1" t="s">
        <v>1703</v>
      </c>
      <c r="BJ1" t="str">
        <f>Labels!B142</f>
        <v>Sales Commission</v>
      </c>
      <c r="BK1" t="s">
        <v>1203</v>
      </c>
      <c r="BL1" t="str">
        <f>Labels!E142</f>
        <v>Sales commission expense paid only on commissionable sales, without employee benefits or wage taxes, by time period. Commissions are paid when orders are placed (not when deferred revenues are accrued).
If no department has the name "Sales", then sales commissions may not be included in operating expenses.</v>
      </c>
    </row>
    <row r="2" spans="1:64" ht="12.75" customHeight="1" x14ac:dyDescent="0.2">
      <c r="A2" t="s">
        <v>1121</v>
      </c>
      <c r="B2" t="str">
        <f>Labels!B140</f>
        <v>Sales Commis Rate</v>
      </c>
      <c r="C2" t="s">
        <v>1624</v>
      </c>
      <c r="D2" t="str">
        <f>Labels!E140</f>
        <v>The percentage of revenue paid as sales commissions on those orders that are commissionable, by time period</v>
      </c>
      <c r="E2" t="s">
        <v>465</v>
      </c>
      <c r="F2" t="str">
        <f>Labels!B141</f>
        <v>Commis Rev Share</v>
      </c>
      <c r="G2" t="s">
        <v>175</v>
      </c>
      <c r="H2" t="str">
        <f>Labels!E141</f>
        <v>The fraction of revenue on which commission is paid, per time period.</v>
      </c>
      <c r="I2" t="s">
        <v>491</v>
      </c>
      <c r="J2" t="str">
        <f>Labels!B61</f>
        <v>Employee Bonus</v>
      </c>
      <c r="K2" t="s">
        <v>287</v>
      </c>
      <c r="L2" t="str">
        <f>Labels!E61</f>
        <v>The employee bonus pool per time period, segmented by department</v>
      </c>
      <c r="M2" t="s">
        <v>1083</v>
      </c>
      <c r="N2" t="str">
        <f>Labels!B62</f>
        <v>Employee Bonus %</v>
      </c>
      <c r="O2" t="s">
        <v>227</v>
      </c>
      <c r="P2" t="str">
        <f>Labels!E62</f>
        <v>The size of the employee bonus pool as a percentage of wages, by department and job level, by time period</v>
      </c>
      <c r="Q2" t="s">
        <v>444</v>
      </c>
      <c r="R2" t="str">
        <f>Labels!B66</f>
        <v>Employee Rel Exp</v>
      </c>
      <c r="S2" t="s">
        <v>816</v>
      </c>
      <c r="T2" t="str">
        <f>Labels!E66</f>
        <v>Employee-related expenses, segmented by department and expense type</v>
      </c>
      <c r="U2" t="s">
        <v>236</v>
      </c>
      <c r="V2" t="str">
        <f>Labels!B115</f>
        <v>Per Employee Exp/Yr</v>
      </c>
      <c r="W2" t="s">
        <v>1301</v>
      </c>
      <c r="X2" t="str">
        <f>Labels!E115</f>
        <v>Annualized employee-related expense per employee, segmented by department and by expense type, by time period</v>
      </c>
      <c r="Y2" t="s">
        <v>670</v>
      </c>
      <c r="Z2" t="str">
        <f>Labels!B69</f>
        <v>Facilities &amp; Utilities Exp</v>
      </c>
      <c r="AA2" t="s">
        <v>920</v>
      </c>
      <c r="AB2" t="str">
        <f>Labels!E69</f>
        <v>Facilities and utilities expense per time period, segmented by department</v>
      </c>
      <c r="AC2" t="s">
        <v>1768</v>
      </c>
      <c r="AD2" t="str">
        <f>Labels!B108</f>
        <v>Space (Sqft/Person)</v>
      </c>
      <c r="AE2" t="s">
        <v>183</v>
      </c>
      <c r="AF2" t="str">
        <f>Labels!E108</f>
        <v>Average office space (K sqft / person). Applies only to space that is allocated by employee count, not to space that is independent of employee count.</v>
      </c>
      <c r="AG2" t="s">
        <v>1383</v>
      </c>
      <c r="AH2" t="str">
        <f>Labels!B107</f>
        <v>Rent ($/sqft/Yr)</v>
      </c>
      <c r="AI2" t="s">
        <v>310</v>
      </c>
      <c r="AJ2" t="str">
        <f>Labels!E107</f>
        <v>Office rental expense ($/Sqft/Yr), by time period. Applies only to space that is allocated by employee count, not to space that is independent of employee count.</v>
      </c>
      <c r="AK2" t="s">
        <v>942</v>
      </c>
      <c r="AL2" t="str">
        <f>Labels!B109</f>
        <v>Utilities ($/sqft/Yr)</v>
      </c>
      <c r="AM2" t="s">
        <v>1574</v>
      </c>
      <c r="AN2" t="str">
        <f>Labels!E109</f>
        <v>Office utilities expense ($/Sqft/Yr), by time period</v>
      </c>
      <c r="AO2" t="s">
        <v>300</v>
      </c>
      <c r="AP2" t="str">
        <f>Labels!B106</f>
        <v>Maint ($/sqft/Yr)</v>
      </c>
      <c r="AQ2" t="s">
        <v>257</v>
      </c>
      <c r="AR2" t="str">
        <f>Labels!E106</f>
        <v>Office maintenance expense ($/Sqft/Yr), by time period. Applies only to space that is allocated by employee count, not to space that is independent of employee count.</v>
      </c>
      <c r="AS2" t="s">
        <v>537</v>
      </c>
      <c r="AT2" t="str">
        <f>Labels!B72</f>
        <v>Gen &amp; Admin Exp</v>
      </c>
      <c r="AU2" t="s">
        <v>962</v>
      </c>
      <c r="AV2" t="str">
        <f>Labels!E72</f>
        <v>General &amp; administrative expense</v>
      </c>
      <c r="AW2" t="s">
        <v>1205</v>
      </c>
      <c r="AX2" t="str">
        <f>Labels!B111</f>
        <v>Operating Expense</v>
      </c>
      <c r="AY2" t="s">
        <v>1521</v>
      </c>
      <c r="AZ2" t="str">
        <f>Labels!E111</f>
        <v>Operating expense, segmented by department and expense type, by time period</v>
      </c>
      <c r="BA2" t="s">
        <v>392</v>
      </c>
      <c r="BB2" t="str">
        <f>Labels!B112</f>
        <v>Operating Margin</v>
      </c>
      <c r="BC2" t="s">
        <v>311</v>
      </c>
      <c r="BD2" t="str">
        <f>Labels!E112</f>
        <v>Operating margin amount, per time period</v>
      </c>
      <c r="BE2" t="s">
        <v>717</v>
      </c>
      <c r="BF2" t="str">
        <f>Labels!B113</f>
        <v>Operating Margin %</v>
      </c>
      <c r="BG2" t="s">
        <v>790</v>
      </c>
      <c r="BH2" t="str">
        <f>Labels!E113</f>
        <v>The ratio operating margin / revenue, by time period</v>
      </c>
      <c r="BI2" t="s">
        <v>95</v>
      </c>
      <c r="BJ2" t="str">
        <f>Labels!B70</f>
        <v>Financial Exp</v>
      </c>
      <c r="BK2" t="s">
        <v>1052</v>
      </c>
      <c r="BL2" t="str">
        <f>Labels!E70</f>
        <v>Financial expense = bad debt expense + interest expense</v>
      </c>
    </row>
    <row r="3" spans="1:64" ht="12.75" customHeight="1" x14ac:dyDescent="0.2">
      <c r="A3" t="s">
        <v>56</v>
      </c>
      <c r="B3" t="str">
        <f>Labels!B15</f>
        <v>Bad Debt Expense</v>
      </c>
      <c r="C3" t="s">
        <v>91</v>
      </c>
      <c r="D3" t="str">
        <f>Labels!E15</f>
        <v>The amount of bad debt expense in each accounting period.</v>
      </c>
      <c r="E3" t="s">
        <v>547</v>
      </c>
      <c r="F3" t="str">
        <f>Labels!B16</f>
        <v>Bad Debt %</v>
      </c>
      <c r="G3" t="s">
        <v>1824</v>
      </c>
      <c r="H3" t="str">
        <f>Labels!E16</f>
        <v>Bad debt expense expressed as a percent of accounts receivable, for each time period</v>
      </c>
      <c r="I3" t="s">
        <v>38</v>
      </c>
      <c r="J3" t="str">
        <f>Labels!B81</f>
        <v>Net Interest Expense</v>
      </c>
      <c r="K3" t="s">
        <v>264</v>
      </c>
      <c r="L3" t="str">
        <f>Labels!E81</f>
        <v>Interest expense on short-term debt, long-term loans, and bonds (including bond initiation fees), net of interest earned on starting cash balance, for each time period.
Use of starting cash balance is a simplification that bypasses interdependence of interest earned and cash balances.</v>
      </c>
      <c r="M3" t="s">
        <v>1320</v>
      </c>
      <c r="N3" t="str">
        <f>Labels!B84</f>
        <v>Short Interest %/Yr</v>
      </c>
      <c r="O3" t="s">
        <v>1620</v>
      </c>
      <c r="P3" t="str">
        <f>Labels!E84</f>
        <v>Annual interest rate on short-term debt, quoted for each time period. The model expresses all input interest rates in annual terms.</v>
      </c>
      <c r="Q3" t="s">
        <v>1237</v>
      </c>
      <c r="R3" t="str">
        <f>Labels!B83</f>
        <v>Long Interest %/Yr</v>
      </c>
      <c r="S3" t="s">
        <v>1473</v>
      </c>
      <c r="T3" t="str">
        <f>Labels!E83</f>
        <v>Annual interest rate on long-term debt, quoted for each time period. The model expresses all input interest rates in annual terms.</v>
      </c>
      <c r="U3" t="s">
        <v>796</v>
      </c>
      <c r="V3" t="str">
        <f>Labels!B78</f>
        <v>Income Tax</v>
      </c>
      <c r="W3" t="s">
        <v>750</v>
      </c>
      <c r="X3" t="str">
        <f>Labels!E78</f>
        <v>Income tax expense for each time period</v>
      </c>
      <c r="Y3" t="s">
        <v>477</v>
      </c>
      <c r="Z3" t="str">
        <f>Labels!B166</f>
        <v>Taxable Income</v>
      </c>
      <c r="AA3" t="s">
        <v>1262</v>
      </c>
      <c r="AB3" t="str">
        <f>Labels!E166</f>
        <v>Income subject to income tax. Applicable losses carried forward from previous time periods are already subtracted.</v>
      </c>
      <c r="AC3" t="s">
        <v>603</v>
      </c>
      <c r="AD3" t="str">
        <f>Labels!B100</f>
        <v>Loss Carry Forward</v>
      </c>
      <c r="AE3" t="s">
        <v>619</v>
      </c>
      <c r="AF3" t="str">
        <f>Labels!E100</f>
        <v>Losses carried forward from preivous time periods, for use in computation of income tax expense</v>
      </c>
      <c r="AG3" t="s">
        <v>1418</v>
      </c>
      <c r="AH3" t="str">
        <f>Labels!B79</f>
        <v>Income Tax Rate</v>
      </c>
      <c r="AI3" t="s">
        <v>1298</v>
      </c>
      <c r="AJ3" t="str">
        <f>Labels!E79</f>
        <v>Income tax rate</v>
      </c>
      <c r="AK3" t="s">
        <v>291</v>
      </c>
      <c r="AL3" t="str">
        <f>Labels!B103</f>
        <v>Net Income</v>
      </c>
      <c r="AM3" t="s">
        <v>1764</v>
      </c>
      <c r="AN3" t="str">
        <f>Labels!E103</f>
        <v>Net income</v>
      </c>
      <c r="AO3" t="s">
        <v>341</v>
      </c>
      <c r="AP3" t="str">
        <f>Labels!B129</f>
        <v>Return on Sales %</v>
      </c>
      <c r="AQ3" t="s">
        <v>760</v>
      </c>
      <c r="AR3" t="str">
        <f>Labels!E129</f>
        <v>The ratio net income / revenue, by time period</v>
      </c>
      <c r="AS3" t="s">
        <v>1787</v>
      </c>
      <c r="AT3" t="str">
        <f>Labels!B14</f>
        <v>Assets</v>
      </c>
      <c r="AU3" t="s">
        <v>29</v>
      </c>
      <c r="AV3" t="str">
        <f>Labels!E14</f>
        <v>The total assets of the company at the end of each time period</v>
      </c>
      <c r="AW3" t="s">
        <v>1282</v>
      </c>
      <c r="AX3" t="str">
        <f>Labels!B18</f>
        <v>Ending Cash</v>
      </c>
      <c r="AY3" t="s">
        <v>1188</v>
      </c>
      <c r="AZ3" t="str">
        <f>Labels!E18</f>
        <v>Cash balance at the end of each accounting period</v>
      </c>
      <c r="BA3" t="s">
        <v>1449</v>
      </c>
      <c r="BB3" t="str">
        <f>Labels!B25</f>
        <v>Cash No Short Debt</v>
      </c>
      <c r="BC3" t="s">
        <v>1295</v>
      </c>
      <c r="BD3" t="str">
        <f>Labels!E25</f>
        <v>Cash balance that would be at the end of each accounting period if the company ends the period with no short term debt. Cash receipts and total direct cost are used here (not revenue and cost of goods and services). This amount is computed, then the policy for determining the amount of short term debt is applied, then the period-ending cash balance can be computed.</v>
      </c>
      <c r="BE3" t="s">
        <v>1774</v>
      </c>
      <c r="BF3" t="str">
        <f>Labels!B28</f>
        <v>Cash Target Days</v>
      </c>
      <c r="BG3" t="s">
        <v>1805</v>
      </c>
      <c r="BH3" t="str">
        <f>Labels!E28</f>
        <v>The target for cash balance at the end of each accounting period, expressed as a number of days of revenue. This is the key parameter in the policy for determining the level of short-term debt to be carried a the end of each accounting period.</v>
      </c>
      <c r="BI3" t="s">
        <v>189</v>
      </c>
      <c r="BJ3" t="str">
        <f>Labels!B12</f>
        <v>Accounts Receivable</v>
      </c>
      <c r="BK3" t="s">
        <v>1200</v>
      </c>
      <c r="BL3" t="str">
        <f>Labels!E12</f>
        <v>The estimated amount of accounts receivable at the end of a time period. Product sales generate accounts receivable; support and contract sales do not (assuming they are included in the model).</v>
      </c>
    </row>
    <row r="4" spans="1:64" ht="12.75" customHeight="1" x14ac:dyDescent="0.2">
      <c r="A4" t="s">
        <v>997</v>
      </c>
      <c r="B4" t="str">
        <f>Labels!B10</f>
        <v>AR Days - Products</v>
      </c>
      <c r="C4" t="s">
        <v>611</v>
      </c>
      <c r="D4" t="str">
        <f>Labels!E10</f>
        <v>The estimated amount of accounts receivable from sale of products, at the end of a time period, expressed as a number of days of revenue. Used to compute accounts receivable.</v>
      </c>
      <c r="E4" t="s">
        <v>188</v>
      </c>
      <c r="F4" t="str">
        <f>Labels!B31</f>
        <v>Chg Accts Rec</v>
      </c>
      <c r="G4" t="s">
        <v>1037</v>
      </c>
      <c r="H4" t="str">
        <f>Labels!E31</f>
        <v>Change in accounts receivable from the previous period. The model has a variable for this because (a) this amount will be displayed in the cash flow statement worksheet, and (b) this amount is used in several formulas so it is convenient to store it in a variable.</v>
      </c>
      <c r="I4" t="s">
        <v>98</v>
      </c>
      <c r="J4" t="str">
        <f>Labels!B85</f>
        <v>Finished Inventory Value</v>
      </c>
      <c r="K4" t="s">
        <v>317</v>
      </c>
      <c r="L4" t="str">
        <f>Labels!E85</f>
        <v>Book value of finished inventory, segmented by product, for each time period. Uses LIFO inventory accounting.</v>
      </c>
      <c r="M4" t="s">
        <v>97</v>
      </c>
      <c r="N4" t="str">
        <f>Labels!B89</f>
        <v>Finished Inventory (U)</v>
      </c>
      <c r="O4" t="s">
        <v>1435</v>
      </c>
      <c r="P4" t="str">
        <f>Labels!E89</f>
        <v>Finished inventory units, segmented by products, at the end of each time period</v>
      </c>
      <c r="Q4" t="s">
        <v>1434</v>
      </c>
      <c r="R4" t="str">
        <f>Labels!B87</f>
        <v>FG Inventory Targ Days</v>
      </c>
      <c r="S4" t="s">
        <v>526</v>
      </c>
      <c r="T4" t="str">
        <f>Labels!E87</f>
        <v>Target level of finished inventory, expressed as a number of days of unit sales, segmented by product, for each time period. Used to compute production units requirements. Rollups over products are weighted by COGS.</v>
      </c>
      <c r="U4" t="s">
        <v>1672</v>
      </c>
      <c r="V4" t="str">
        <f>Labels!B119</f>
        <v>Production Units</v>
      </c>
      <c r="W4" t="s">
        <v>269</v>
      </c>
      <c r="X4" t="str">
        <f>Labels!E119</f>
        <v>The number of units of product produced, segmented by product, by time period. Production amounts are determined by unit sales, inventory targets, and current inventory levels</v>
      </c>
      <c r="Y4" t="s">
        <v>643</v>
      </c>
      <c r="Z4" t="str">
        <f>Labels!B98</f>
        <v>Long Term Assets</v>
      </c>
      <c r="AA4" t="s">
        <v>324</v>
      </c>
      <c r="AB4" t="str">
        <f>Labels!E98</f>
        <v xml:space="preserve">Value of long term assets, including tagged and untagged long-term assets, by time period, </v>
      </c>
      <c r="AC4" t="s">
        <v>1015</v>
      </c>
      <c r="AD4" t="str">
        <f>Labels!B97</f>
        <v>Long Asset Purch</v>
      </c>
      <c r="AE4" t="s">
        <v>1708</v>
      </c>
      <c r="AF4" t="str">
        <f>Labels!E97</f>
        <v>Value of purchases of long term assets, including tagged and untagged long-term assets, by time period</v>
      </c>
      <c r="AG4" t="s">
        <v>1378</v>
      </c>
      <c r="AH4" t="str">
        <f>Labels!B43</f>
        <v>Depreciation</v>
      </c>
      <c r="AI4" t="s">
        <v>1417</v>
      </c>
      <c r="AJ4" t="str">
        <f>Labels!E43</f>
        <v>Depreciation expense during each accounting period, segmented by type of asset (hardware, software, equipment &amp; furniture)</v>
      </c>
      <c r="AK4" t="s">
        <v>1626</v>
      </c>
      <c r="AL4" t="str">
        <f>Labels!B96</f>
        <v>Liabilities</v>
      </c>
      <c r="AM4" t="s">
        <v>410</v>
      </c>
      <c r="AN4" t="str">
        <f>Labels!E96</f>
        <v>Liabilities, segmented by payables, long and short term debt</v>
      </c>
      <c r="AO4" t="s">
        <v>271</v>
      </c>
      <c r="AP4" t="str">
        <f>Labels!B8</f>
        <v>Accts Payable</v>
      </c>
      <c r="AQ4" t="s">
        <v>78</v>
      </c>
      <c r="AR4" t="str">
        <f>Labels!E8</f>
        <v>The amount of accounts payable balance at the end of a time period. Purchases of raw inventory are assumed purchased on a cash basis.</v>
      </c>
      <c r="AS4" t="s">
        <v>1079</v>
      </c>
      <c r="AT4" t="str">
        <f>Labels!B6</f>
        <v>Accts Payable Days</v>
      </c>
      <c r="AU4" t="s">
        <v>1584</v>
      </c>
      <c r="AV4" t="str">
        <f>Labels!E6</f>
        <v>The amount of accounts payables at the end of a time period measured as a number of days of revenue</v>
      </c>
      <c r="AW4" t="s">
        <v>792</v>
      </c>
      <c r="AX4" t="str">
        <f>Labels!B7</f>
        <v>Accts Pay Targ Days</v>
      </c>
      <c r="AY4" t="s">
        <v>214</v>
      </c>
      <c r="AZ4" t="str">
        <f>Labels!E7</f>
        <v>The amount of accounts payables at the end of a time period expressed as a target  number of days of revenue. Used to compute payables.</v>
      </c>
      <c r="BA4" t="s">
        <v>498</v>
      </c>
      <c r="BB4" t="str">
        <f>Labels!B30</f>
        <v>Chg Accts Pay</v>
      </c>
      <c r="BC4" t="s">
        <v>453</v>
      </c>
      <c r="BD4" t="str">
        <f>Labels!E30</f>
        <v>Change in accounts payable from the previous period. The model has a variable for this because (a) this amount will be displayed in the cash flow statement worksheet, and (b) this amount is used in several formulas so it is convenient to store it in a variable.</v>
      </c>
      <c r="BE4" t="s">
        <v>1410</v>
      </c>
      <c r="BF4" t="str">
        <f>Labels!B124</f>
        <v>Purchases</v>
      </c>
      <c r="BG4" t="s">
        <v>352</v>
      </c>
      <c r="BH4" t="str">
        <f>Labels!E124</f>
        <v>Amount of purchases, split out by goods and services, payroll, and income taxes, per period. Used to compute accounts payable.</v>
      </c>
      <c r="BI4" t="s">
        <v>577</v>
      </c>
      <c r="BJ4" t="str">
        <f>Labels!B151</f>
        <v>Short Term Debt</v>
      </c>
      <c r="BK4" t="s">
        <v>153</v>
      </c>
      <c r="BL4" t="str">
        <f>Labels!E151</f>
        <v>The amount of short-term debt outstanding at the end of each time period.
This variable contains a formula that expresses a policy: the company takes enough short-term loans to keep cash balances equal to a target number of days of revenue.</v>
      </c>
    </row>
    <row r="5" spans="1:64" ht="12.75" customHeight="1" x14ac:dyDescent="0.2">
      <c r="A5" t="s">
        <v>1437</v>
      </c>
      <c r="B5" t="str">
        <f>Labels!B36</f>
        <v>Chg Short Debt</v>
      </c>
      <c r="C5" t="s">
        <v>1395</v>
      </c>
      <c r="D5" t="str">
        <f>Labels!E36</f>
        <v>Change in short-term debt from the previous period. The model has a variable for this because (a) this amount will be displayed in the cash flow statement worksheet, and (b) this amount is used in several formulas so it is convenient to store it in a variable.</v>
      </c>
      <c r="E5" t="s">
        <v>160</v>
      </c>
      <c r="F5" t="str">
        <f>Labels!B99</f>
        <v>Long Term Loans</v>
      </c>
      <c r="G5" t="s">
        <v>663</v>
      </c>
      <c r="H5" t="str">
        <f>Labels!E99</f>
        <v>Principal amount of long-term loans (excluding bonds), by time period</v>
      </c>
      <c r="I5" t="s">
        <v>808</v>
      </c>
      <c r="J5" t="str">
        <f>Labels!B35</f>
        <v>Chg Long Debt</v>
      </c>
      <c r="K5" t="s">
        <v>350</v>
      </c>
      <c r="L5" t="str">
        <f>Labels!E35</f>
        <v>Change in long-term debt from the previous period, including loans and bonds. The model has a variable for this because (a) this amount will be displayed in the cash flow statement worksheet, and (b) this amount is used in several formulas so it is convenient to store it in a variable.</v>
      </c>
      <c r="M5" t="s">
        <v>474</v>
      </c>
      <c r="N5" t="str">
        <f>Labels!B67</f>
        <v>Equity</v>
      </c>
      <c r="O5" t="s">
        <v>32</v>
      </c>
      <c r="P5" t="str">
        <f>Labels!E67</f>
        <v>Book value of equity, segmented by paid-in capital and retained earnings</v>
      </c>
      <c r="Q5" t="s">
        <v>1240</v>
      </c>
      <c r="R5" t="str">
        <f>Labels!B114</f>
        <v>Paid in Capital</v>
      </c>
      <c r="S5" t="s">
        <v>712</v>
      </c>
      <c r="T5" t="str">
        <f>Labels!E114</f>
        <v>The stock of paid in capital at the end of each time period</v>
      </c>
      <c r="U5" t="s">
        <v>243</v>
      </c>
      <c r="V5" t="str">
        <f>Labels!B126</f>
        <v>Retained Earnings</v>
      </c>
      <c r="W5" t="s">
        <v>1755</v>
      </c>
      <c r="X5" t="str">
        <f>Labels!E126</f>
        <v>The stock of retained earnings at the end of each time period. The value at the start of model time is determined by the accounting identity Retained Earnings = Assets - Liabilities - Paid_In_Capital.</v>
      </c>
      <c r="Y5" t="s">
        <v>315</v>
      </c>
      <c r="Z5" t="str">
        <f>Labels!B104</f>
        <v>Net Stock Issue</v>
      </c>
      <c r="AA5" t="s">
        <v>1648</v>
      </c>
      <c r="AB5" t="str">
        <f>Labels!E104</f>
        <v>Book value of stock issued less buy-backs, by time period.
This variable includes a formula that implements a policy for the sale of stock based on cash balances and recent rates of change of cash balances.</v>
      </c>
      <c r="AC5" t="s">
        <v>36</v>
      </c>
      <c r="AD5" t="str">
        <f>Labels!B60</f>
        <v>Dividend</v>
      </c>
      <c r="AE5" t="s">
        <v>1170</v>
      </c>
      <c r="AF5" t="str">
        <f>Labels!E60</f>
        <v>The cash dividend payment in each accounting period.
The formula in this variable expresses a dividend policy, based on the relationship between cash balances and revenue, and previous dividends.</v>
      </c>
      <c r="AG5" t="s">
        <v>752</v>
      </c>
      <c r="AH5" t="str">
        <f>Labels!B17</f>
        <v>Balance Check</v>
      </c>
      <c r="AI5" t="s">
        <v>740</v>
      </c>
      <c r="AJ5" t="str">
        <f>Labels!E17</f>
        <v>A checksum. Equals Assets - Liabilities - Equity, which must be zero if assets, liabilities and equity are accounted for correctly</v>
      </c>
      <c r="AK5" t="s">
        <v>1085</v>
      </c>
      <c r="AL5" t="str">
        <f>Labels!B13</f>
        <v>Asset Turnover</v>
      </c>
      <c r="AM5" t="s">
        <v>538</v>
      </c>
      <c r="AN5" t="str">
        <f>Labels!E13</f>
        <v>The ratio (revenue for each time period)/ (assets at the end of each time period)</v>
      </c>
      <c r="AO5" t="s">
        <v>60</v>
      </c>
      <c r="AP5" t="str">
        <f>Labels!B88</f>
        <v>Finished Inventory Turnover (Yr)</v>
      </c>
      <c r="AQ5" t="s">
        <v>566</v>
      </c>
      <c r="AR5" t="str">
        <f>Labels!E88</f>
        <v>The ratio (annualized cost of goods) / (finished inventory value), segmented by product, for each time period. The model uses value instead of units 
for turnover so that we can sensibly combine turnover rates for products of different value.</v>
      </c>
      <c r="AS5" t="s">
        <v>1247</v>
      </c>
      <c r="AT5" t="str">
        <f>Labels!B136</f>
        <v>Revenue / Employee</v>
      </c>
      <c r="AU5" t="s">
        <v>957</v>
      </c>
      <c r="AV5" t="str">
        <f>Labels!E136</f>
        <v>The ratio (revenue for each time period) / (employee count at end of each time period)</v>
      </c>
      <c r="AW5" t="s">
        <v>1604</v>
      </c>
      <c r="AX5" t="str">
        <f>Labels!B65</f>
        <v xml:space="preserve">Employees/Rev Million </v>
      </c>
      <c r="AY5" t="s">
        <v>322</v>
      </c>
      <c r="AZ5" t="str">
        <f>Labels!E65</f>
        <v>The ratio (employee count at end of time period)/ (revenue for time period)</v>
      </c>
      <c r="BA5" t="s">
        <v>362</v>
      </c>
      <c r="BB5" t="str">
        <f>Labels!B41</f>
        <v>Current Ratio</v>
      </c>
      <c r="BC5" t="s">
        <v>774</v>
      </c>
      <c r="BD5" t="str">
        <f>Labels!E41</f>
        <v>The accounting current ratio, equal to current assets / current liabilities</v>
      </c>
      <c r="BE5" t="s">
        <v>83</v>
      </c>
      <c r="BF5" t="str">
        <f>Labels!B125</f>
        <v>Quick Ratio</v>
      </c>
      <c r="BG5" t="s">
        <v>201</v>
      </c>
      <c r="BH5" t="str">
        <f>Labels!E125</f>
        <v>The ratio (short-term assets less inventory) / short-term liabilities, by time period</v>
      </c>
      <c r="BI5" t="s">
        <v>863</v>
      </c>
      <c r="BJ5" t="str">
        <f>Labels!B127</f>
        <v>Return on Assets</v>
      </c>
      <c r="BK5" t="s">
        <v>745</v>
      </c>
      <c r="BL5" t="str">
        <f>Labels!E127</f>
        <v>The ratio (trailing annual net income) / assets, by time period</v>
      </c>
    </row>
    <row r="6" spans="1:64" ht="12.75" customHeight="1" x14ac:dyDescent="0.2">
      <c r="A6" t="s">
        <v>737</v>
      </c>
      <c r="B6" t="str">
        <f>Labels!B128</f>
        <v>Return on Equity</v>
      </c>
      <c r="C6" t="s">
        <v>974</v>
      </c>
      <c r="D6" t="str">
        <f>Labels!E128</f>
        <v>The ratio (trailing annual net income) / (book value of equity), by time period</v>
      </c>
      <c r="E6" t="s">
        <v>508</v>
      </c>
      <c r="F6" t="str">
        <f>Labels!B42</f>
        <v>Debt Ratio</v>
      </c>
      <c r="G6" t="s">
        <v>1380</v>
      </c>
      <c r="H6" t="str">
        <f>Labels!E42</f>
        <v>The accounting debt ratio, equal to the total long and short term debt divided by the total assets</v>
      </c>
      <c r="I6" t="s">
        <v>86</v>
      </c>
      <c r="J6" t="str">
        <f>Labels!B57</f>
        <v>Discount Factor</v>
      </c>
      <c r="K6" t="s">
        <v>1057</v>
      </c>
      <c r="L6" t="str">
        <f>Labels!E57</f>
        <v>The factor applied to cash flow in each time period to compute its contribution to present value</v>
      </c>
      <c r="M6" t="s">
        <v>417</v>
      </c>
      <c r="N6" t="str">
        <f>Labels!B58</f>
        <v>Discount Rate</v>
      </c>
      <c r="O6" t="s">
        <v>801</v>
      </c>
      <c r="P6" t="str">
        <f>Labels!E58</f>
        <v>The discount rate per time period for computing present values</v>
      </c>
      <c r="Q6" t="s">
        <v>720</v>
      </c>
      <c r="R6" t="str">
        <f>Labels!B59</f>
        <v>Discount %/Yr, Direct</v>
      </c>
      <c r="S6" t="s">
        <v>582</v>
      </c>
      <c r="T6" t="str">
        <f>Labels!E59</f>
        <v>The discount rate to be used, if the Discount_Method = "direct". Annual rate is quoted for each time period. The model expresses all input discount rates in annual terms.
Annualized discount rate quoted for each time period (whether the time grain of the model is years or not). If Discount_Method = "direct", then the model uses this discount rate to discount cash flows to earlier times during model time. 
A different variable, Tail Discount Rate Yr, is used to discount cash flows in the tail time range (after the end of model time) forward to the end of model time.</v>
      </c>
      <c r="U6" t="s">
        <v>1230</v>
      </c>
      <c r="V6" t="str">
        <f>Labels!B102</f>
        <v>Mktg Expense</v>
      </c>
      <c r="W6" t="s">
        <v>1519</v>
      </c>
      <c r="X6" t="str">
        <f>Labels!E102</f>
        <v>Marketing department expense, by time period. In early time periods, specified as explicit numbers; in later time periods, computed using Cobb-Douglas function of revenue</v>
      </c>
      <c r="Y6" t="s">
        <v>1587</v>
      </c>
      <c r="Z6" t="str">
        <f>Labels!B101</f>
        <v>Mktg Exp Ratio</v>
      </c>
      <c r="AA6" t="s">
        <v>1537</v>
      </c>
      <c r="AB6" t="str">
        <f>Labels!E101</f>
        <v>The ratio marketing department expense / revenue, by time period</v>
      </c>
      <c r="AC6" t="s">
        <v>1481</v>
      </c>
      <c r="AD6" t="str">
        <f>Labels!B71</f>
        <v>G&amp;A Exp Ratio</v>
      </c>
      <c r="AE6" t="s">
        <v>562</v>
      </c>
      <c r="AF6" t="str">
        <f>Labels!E71</f>
        <v>The ratio (operating expense for the Admin department) / revenue, by time period</v>
      </c>
      <c r="AG6" t="s">
        <v>277</v>
      </c>
      <c r="AH6" t="str">
        <f>Labels!B110</f>
        <v>Oper Exp Ratio</v>
      </c>
      <c r="AI6" t="s">
        <v>1244</v>
      </c>
      <c r="AJ6" t="str">
        <f>Labels!E110</f>
        <v>The ratio operating expense / revenue, by time period</v>
      </c>
      <c r="AK6" t="s">
        <v>676</v>
      </c>
      <c r="AL6" t="str">
        <f>Labels!B34</f>
        <v>Chg Inventory</v>
      </c>
      <c r="AM6" t="s">
        <v>1279</v>
      </c>
      <c r="AN6" t="str">
        <f>Labels!E34</f>
        <v>Change in inventory from the previous period. The model has a variable for this because (a) this amount will be displayed in the cash flow statement worksheet, and (b) this amount is used in several formulas so it is convenient to store it in a variable.</v>
      </c>
      <c r="AO6" t="s">
        <v>558</v>
      </c>
      <c r="AP6" t="str">
        <f>Labels!B27</f>
        <v>Starting Cash</v>
      </c>
      <c r="AQ6" t="s">
        <v>807</v>
      </c>
      <c r="AR6" t="str">
        <f>Labels!E27</f>
        <v>The amount of cash on hand a the start of each time period</v>
      </c>
      <c r="AS6" t="s">
        <v>584</v>
      </c>
      <c r="AT6" t="str">
        <f>Labels!B20</f>
        <v>Cash Flow Check</v>
      </c>
      <c r="AU6" t="s">
        <v>169</v>
      </c>
      <c r="AV6" t="str">
        <f>Labels!E20</f>
        <v>A checksum for cash flow. Equals starting cash balance + sources of cash - uses of cash - ending cash balance, which must be zero if cash flows are accounted for correctly.</v>
      </c>
      <c r="AW6" t="s">
        <v>1199</v>
      </c>
      <c r="AX6" t="str">
        <f>Labels!B23</f>
        <v>Operating Cash Flow</v>
      </c>
      <c r="AY6" t="s">
        <v>1531</v>
      </c>
      <c r="AZ6" t="str">
        <f>Labels!E23</f>
        <v>Operating cash flow by time period; that is, cash flow adjusted to cancel out capital transactions (dividends, sale of stock, changes in debt). Includes short-term debt transactions, but not long-term debt.</v>
      </c>
      <c r="BA6" t="s">
        <v>1493</v>
      </c>
      <c r="BB6" t="str">
        <f>Labels!B130</f>
        <v>Revenue at List Price - Products</v>
      </c>
      <c r="BC6" t="s">
        <v>21</v>
      </c>
      <c r="BD6" t="str">
        <f>Labels!E130</f>
        <v>Theoretical revenue from product sales, if sold at list price, segmented by product, by time period. Used to compute product price discount % and product list prices averaged over products.</v>
      </c>
      <c r="BE6" t="s">
        <v>1390</v>
      </c>
      <c r="BF6" t="str">
        <f>Labels!B160</f>
        <v>Asset Name</v>
      </c>
      <c r="BG6" t="s">
        <v>1489</v>
      </c>
      <c r="BH6" t="str">
        <f>Labels!E160</f>
        <v>Name of each tagged asset. Each tagged asset is considered sufficiently important to separately track its depreciation and book value.</v>
      </c>
      <c r="BI6" t="s">
        <v>396</v>
      </c>
      <c r="BJ6" t="str">
        <f>Labels!B155</f>
        <v>Initial Value</v>
      </c>
      <c r="BK6" t="s">
        <v>1424</v>
      </c>
      <c r="BL6" t="str">
        <f>Labels!E155</f>
        <v>Initial asset value of each tagged asset</v>
      </c>
    </row>
    <row r="7" spans="1:64" ht="12.75" customHeight="1" x14ac:dyDescent="0.2">
      <c r="A7" t="s">
        <v>57</v>
      </c>
      <c r="B7" t="str">
        <f>Labels!B162</f>
        <v>Purch Date</v>
      </c>
      <c r="C7" t="s">
        <v>901</v>
      </c>
      <c r="D7" t="str">
        <f>Labels!E162</f>
        <v>Date on which each tagged asset was purchased</v>
      </c>
      <c r="E7" t="s">
        <v>533</v>
      </c>
      <c r="F7" t="str">
        <f>Labels!B152</f>
        <v>Depreciation</v>
      </c>
      <c r="G7" t="s">
        <v>1361</v>
      </c>
      <c r="H7" t="str">
        <f>Labels!E152</f>
        <v>Depreciation expense for each tagged asset, by time period. Possible values are "SLN" (linear), "SYD" (sum of digits), and "DDB" (double declining balance); the default method is "SLN".</v>
      </c>
      <c r="I7" t="s">
        <v>707</v>
      </c>
      <c r="J7" t="str">
        <f>Labels!B157</f>
        <v>Depr Life (Yr)</v>
      </c>
      <c r="K7" t="s">
        <v>367</v>
      </c>
      <c r="L7" t="str">
        <f>Labels!E157</f>
        <v>Depreciation life of each tagged asset expressed in years</v>
      </c>
      <c r="M7" t="s">
        <v>1655</v>
      </c>
      <c r="N7" t="str">
        <f>Labels!B153</f>
        <v>Depr Method</v>
      </c>
      <c r="O7" t="s">
        <v>1625</v>
      </c>
      <c r="P7" t="str">
        <f>Labels!E153</f>
        <v>Depreciation method for each tagged asset. Choose one of SLN, SYD, DDB, or None.</v>
      </c>
      <c r="Q7" t="s">
        <v>358</v>
      </c>
      <c r="R7" t="str">
        <f>Labels!B154</f>
        <v>Deprec Period</v>
      </c>
      <c r="S7" t="s">
        <v>125</v>
      </c>
      <c r="T7" t="str">
        <f>Labels!E154</f>
        <v>Variable that counts how many time periods have passed during the life of each tagged asset, for each time period. Negative before period purchased. Zero during period purchased. Constant after end of life. Used as input to depreciation functions that require the number of the time period for which depreciation is computed.
Code: -1 means before the period of purchase, 0 means the period in which the asset is purchased, -2 means after end of life.</v>
      </c>
      <c r="U7" t="s">
        <v>67</v>
      </c>
      <c r="V7" t="str">
        <f>Labels!B165</f>
        <v>Tagged Assets</v>
      </c>
      <c r="W7" t="s">
        <v>594</v>
      </c>
      <c r="X7" t="str">
        <f>Labels!E165</f>
        <v>The book value of each tagged asset, by time period</v>
      </c>
      <c r="Y7" t="s">
        <v>1149</v>
      </c>
      <c r="Z7" t="str">
        <f>Labels!B164</f>
        <v>Salvage Value</v>
      </c>
      <c r="AA7" t="s">
        <v>273</v>
      </c>
      <c r="AB7" t="str">
        <f>Labels!E164</f>
        <v>Salvage value of each tagged asset</v>
      </c>
      <c r="AC7" t="s">
        <v>1377</v>
      </c>
      <c r="AD7" t="str">
        <f>Labels!B163</f>
        <v>Asset Salvage CF</v>
      </c>
      <c r="AE7" t="s">
        <v>1290</v>
      </c>
      <c r="AF7" t="str">
        <f>Labels!E163</f>
        <v>The salvage value of each tagged asset, assigned to the time period that includes the end of life. This variable is needed to express the salvage value in a time-dependent table needed for cash flow computations.</v>
      </c>
      <c r="AG7" t="s">
        <v>432</v>
      </c>
      <c r="AH7" t="str">
        <f>Labels!B161</f>
        <v>Tagged Asset Purch</v>
      </c>
      <c r="AI7" t="s">
        <v>935</v>
      </c>
      <c r="AJ7" t="str">
        <f>Labels!E161</f>
        <v>The purchase amount of each tagged asset, assigned to the time period that includes the purchase date. This variable is needed to express the purchase value in a time-dependent table needed for depreciation computations.</v>
      </c>
      <c r="AK7" t="s">
        <v>1649</v>
      </c>
      <c r="AL7" t="str">
        <f>Labels!B144</f>
        <v xml:space="preserve">Sales Unit Growth - Product </v>
      </c>
      <c r="AM7" t="s">
        <v>1720</v>
      </c>
      <c r="AN7" t="str">
        <f>Labels!E144</f>
        <v>Measured growth rate of product sales units. This differs from the input assumption for growth rate because of integer rounding of sales units. This version replaces blanks in the display version with zeros for computation.</v>
      </c>
      <c r="AO7" t="s">
        <v>1478</v>
      </c>
      <c r="AP7" t="str">
        <f>Labels!B150</f>
        <v>Selling Exp Ratio</v>
      </c>
      <c r="AQ7" t="s">
        <v>1505</v>
      </c>
      <c r="AR7" t="str">
        <f>Labels!E150</f>
        <v>The ratio (sales department expense) / revenue, by time period</v>
      </c>
      <c r="AS7" t="s">
        <v>1243</v>
      </c>
      <c r="AT7" t="str">
        <f>Labels!B37</f>
        <v>Company Name</v>
      </c>
      <c r="AU7" t="s">
        <v>53</v>
      </c>
      <c r="AV7" t="str">
        <f>Labels!E37</f>
        <v>The name of the organization for which the financial plan is made. The name is stored in a variable so that there is a single location where the name can be change in ModelSheet and in exported workbooks.</v>
      </c>
      <c r="AW7" t="s">
        <v>58</v>
      </c>
      <c r="AX7" t="str">
        <f>Labels!B132</f>
        <v>Revenue CAGR (ex Yr1)</v>
      </c>
      <c r="AY7" t="s">
        <v>850</v>
      </c>
      <c r="AZ7" t="str">
        <f>Labels!E132</f>
        <v>Cumulative average growth rate of revenue over model time, excluding year 1, using a least squares fit to historical revenue, segmented by product. This method gives a more stable estimate of CAGR than using just the first and last period revenues.</v>
      </c>
      <c r="BA7" t="s">
        <v>22</v>
      </c>
      <c r="BB7" t="str">
        <f>Labels!B171</f>
        <v>Initial Avg Wage/Yr</v>
      </c>
      <c r="BC7" t="s">
        <v>235</v>
      </c>
      <c r="BD7" t="str">
        <f>Labels!E171</f>
        <v>The average annual wage to each employee, segmented by department and job level, in the initial time period. This variable and wage growth yield average wages in each time period.</v>
      </c>
      <c r="BE7" t="s">
        <v>4</v>
      </c>
      <c r="BF7" t="str">
        <f>Labels!B54</f>
        <v>Direct Cost</v>
      </c>
      <c r="BG7" t="s">
        <v>527</v>
      </c>
      <c r="BH7" t="str">
        <f>Labels!E54</f>
        <v>Direct costs incurred in building or acquiring product units (and support units if included in the model), by product, by cost type, and by time period</v>
      </c>
      <c r="BI7" t="s">
        <v>748</v>
      </c>
      <c r="BJ7" t="str">
        <f>Labels!B26</f>
        <v>Sources of Cash</v>
      </c>
      <c r="BK7" t="s">
        <v>794</v>
      </c>
      <c r="BL7" t="str">
        <f>Labels!E26</f>
        <v>Total sources of cash, by time period</v>
      </c>
    </row>
    <row r="8" spans="1:64" ht="12.75" customHeight="1" x14ac:dyDescent="0.2">
      <c r="A8" t="s">
        <v>414</v>
      </c>
      <c r="B8" t="str">
        <f>Labels!B29</f>
        <v>Uses of Cash</v>
      </c>
      <c r="C8" t="s">
        <v>282</v>
      </c>
      <c r="D8" t="str">
        <f>Labels!E29</f>
        <v>Total uses of cash, by time period</v>
      </c>
      <c r="E8" t="s">
        <v>597</v>
      </c>
      <c r="F8" t="str">
        <f>Labels!B19</f>
        <v>Cash Flow</v>
      </c>
      <c r="G8" t="s">
        <v>744</v>
      </c>
      <c r="H8" t="str">
        <f>Labels!E19</f>
        <v>Change in cash balance by time period</v>
      </c>
      <c r="I8" t="s">
        <v>118</v>
      </c>
      <c r="J8" t="str">
        <f>Labels!B80</f>
        <v>Indirect Labor Expense</v>
      </c>
      <c r="K8" t="s">
        <v>270</v>
      </c>
      <c r="L8" t="str">
        <f>Labels!E80</f>
        <v>Indirect labor expense, segmented by job level, for each time period.
Sales commissions go to the Sales department, allocated to employees proportional to wage and salary compensation.</v>
      </c>
      <c r="M8" t="s">
        <v>986</v>
      </c>
      <c r="N8" t="str">
        <f>Labels!B55</f>
        <v>Direct Cost / U</v>
      </c>
      <c r="O8" t="s">
        <v>180</v>
      </c>
      <c r="P8" t="str">
        <f>Labels!E55</f>
        <v>Direct costs per product unit produced or acquired, segmented by product, by cost type, and by time period. Includes optional production learning effects. You should enter data for the first time period, and for any product and time period in which direct cost per unit changes.</v>
      </c>
      <c r="Q8" t="s">
        <v>1621</v>
      </c>
      <c r="R8" t="str">
        <f>Labels!B169</f>
        <v>Untagged Asset Purch Lagged</v>
      </c>
      <c r="S8" t="s">
        <v>1355</v>
      </c>
      <c r="T8" t="str">
        <f>Labels!E169</f>
        <v>The value of past untagged asset purchases that reach end of life in the current time period</v>
      </c>
      <c r="U8" t="s">
        <v>174</v>
      </c>
      <c r="V8" t="str">
        <f>Labels!B173</f>
        <v>Wage Expense</v>
      </c>
      <c r="W8" t="s">
        <v>331</v>
      </c>
      <c r="X8" t="str">
        <f>Labels!E173</f>
        <v>Wage expense excluding benefits, payroll taxes, bonuses and commissions</v>
      </c>
      <c r="Y8" t="s">
        <v>1514</v>
      </c>
      <c r="Z8" t="str">
        <f>Labels!B82</f>
        <v>Interest Earned %/Yr</v>
      </c>
      <c r="AA8" t="s">
        <v>34</v>
      </c>
      <c r="AB8" t="str">
        <f>Labels!E82</f>
        <v>Interest rate earned on average cash balance during each time period</v>
      </c>
      <c r="AC8" t="s">
        <v>1111</v>
      </c>
      <c r="AD8" t="str">
        <f>Labels!B64</f>
        <v>Employee Count</v>
      </c>
      <c r="AE8" t="s">
        <v>10</v>
      </c>
      <c r="AF8" t="str">
        <f>Labels!E64</f>
        <v>Employee headcount input, segmented by department and job level, by time period. If no value is specified, the previous value grows with revenue (for Marketing and Sales headcount: non-deferred revenue, excluding accruals of deferred revenue). Each headcount number is later rounded to half-integers.</v>
      </c>
      <c r="AG8" t="s">
        <v>972</v>
      </c>
      <c r="AH8" t="str">
        <f>Labels!B73</f>
        <v>Gen &amp; Admin Exp</v>
      </c>
      <c r="AI8" t="s">
        <v>638</v>
      </c>
      <c r="AJ8" t="str">
        <f>Labels!E73</f>
        <v>General &amp; administrative expense</v>
      </c>
      <c r="AK8" t="s">
        <v>764</v>
      </c>
      <c r="AL8" t="str">
        <f>Labels!B148</f>
        <v>Sales Units, Products</v>
      </c>
      <c r="AM8" t="s">
        <v>33</v>
      </c>
      <c r="AN8" t="str">
        <f>Labels!E148</f>
        <v>Units of products sold, segmented by product, by time period</v>
      </c>
      <c r="AO8" t="s">
        <v>1510</v>
      </c>
      <c r="AP8" t="str">
        <f>Labels!B143</f>
        <v>Sales Unit Gr/Yr, Prods</v>
      </c>
      <c r="AQ8" t="s">
        <v>1201</v>
      </c>
      <c r="AR8" t="str">
        <f>Labels!E143</f>
        <v>Assumed annual growth rate of product sales units in scenario 2, by time period. The model tries to express all input growth rates in annual terms.</v>
      </c>
      <c r="AS8" t="s">
        <v>540</v>
      </c>
      <c r="AT8" t="str">
        <f>Labels!B177</f>
        <v>Wage Tax %</v>
      </c>
      <c r="AU8" t="s">
        <v>1087</v>
      </c>
      <c r="AV8" t="str">
        <f>Labels!E177</f>
        <v>Payroll tax rate as a percentage of payroll. Wages and salaries, bonuses and commissions are taxed, benefits are not taxed.</v>
      </c>
      <c r="AW8" t="s">
        <v>747</v>
      </c>
      <c r="AX8" t="str">
        <f>Labels!B176</f>
        <v>Wage increase period %</v>
      </c>
      <c r="AY8" t="s">
        <v>1650</v>
      </c>
      <c r="AZ8" t="str">
        <f>Labels!E176</f>
        <v>The rate of increase of wage rates that is applied in each time period, segmented by department and job level</v>
      </c>
      <c r="BA8" t="s">
        <v>415</v>
      </c>
      <c r="BB8" t="str">
        <f>Labels!B174</f>
        <v>Wage Increase Yr?</v>
      </c>
      <c r="BC8" t="s">
        <v>1360</v>
      </c>
      <c r="BD8" t="str">
        <f>Labels!E174</f>
        <v>Determines whether the rate of increase in wages is interpreted as an annual rate or as the rate of increase that is applied in each time period</v>
      </c>
      <c r="BE8" t="s">
        <v>388</v>
      </c>
      <c r="BF8" t="str">
        <f>Labels!B22</f>
        <v>Cash Flow Expect Factor Future</v>
      </c>
      <c r="BG8" t="s">
        <v>1126</v>
      </c>
      <c r="BH8" t="str">
        <f>Labels!E22</f>
        <v>The future cumulative product of the annualized cash flow expectation factor (expected cash flow)/(plan cash flow), for each time period. The factor for the last time period applies to the entire tail cash flow after the end of model time.</v>
      </c>
      <c r="BI8" t="s">
        <v>1256</v>
      </c>
      <c r="BJ8" t="str">
        <f>Labels!B32</f>
        <v>Chg Bond Principal</v>
      </c>
      <c r="BK8" t="s">
        <v>651</v>
      </c>
      <c r="BL8" t="str">
        <f>Labels!E32</f>
        <v>Change in Bond principal from the previous period. The model has a variable for this because (a) this amount will be displayed in the cash flow statement worksheet, and (b) this amount is used in several formulas so it is convenient to store it in a variable.</v>
      </c>
    </row>
    <row r="9" spans="1:64" ht="12.75" customHeight="1" x14ac:dyDescent="0.2">
      <c r="A9" t="s">
        <v>1753</v>
      </c>
      <c r="B9" t="str">
        <f>Labels!B21</f>
        <v>Equity Cash Flow</v>
      </c>
      <c r="C9" t="s">
        <v>1197</v>
      </c>
      <c r="D9" t="str">
        <f>Labels!E21</f>
        <v>Equity cash flow at the end of each accounting period adjusted to cancel out non-equity transactions (such as changes in short and long term debt and bonds)</v>
      </c>
      <c r="E9" t="s">
        <v>1392</v>
      </c>
      <c r="F9" t="str">
        <f>Labels!B68</f>
        <v>Other Facil Exp/Yr</v>
      </c>
      <c r="G9" t="s">
        <v>1068</v>
      </c>
      <c r="H9" t="str">
        <f>Labels!E68</f>
        <v>Annual facilities expense that is no proportional to employee count</v>
      </c>
      <c r="I9" t="s">
        <v>1746</v>
      </c>
      <c r="J9" t="str">
        <f>Labels!B137</f>
        <v>Revenue - Products</v>
      </c>
      <c r="K9" t="s">
        <v>205</v>
      </c>
      <c r="L9" t="str">
        <f>Labels!E137</f>
        <v>Sales revenue, segmented by product, by time period. Computed as average selling price * sales units. This is revenue net of sales returns.</v>
      </c>
      <c r="M9" t="s">
        <v>1408</v>
      </c>
      <c r="N9" t="str">
        <f>Labels!B40</f>
        <v>Cost of Goods - Products</v>
      </c>
      <c r="O9" t="s">
        <v>295</v>
      </c>
      <c r="P9" t="str">
        <f>Labels!E40</f>
        <v>Cost of goods for product units sold, segmented by product, by cost type, and by time period</v>
      </c>
      <c r="Q9" t="s">
        <v>1327</v>
      </c>
      <c r="R9" t="str">
        <f>Labels!B76</f>
        <v>Gross Margin - Products</v>
      </c>
      <c r="S9" t="s">
        <v>746</v>
      </c>
      <c r="T9" t="str">
        <f>Labels!E76</f>
        <v>Gross margin amount for products, segmented by product, for each time period</v>
      </c>
      <c r="U9" t="s">
        <v>1714</v>
      </c>
      <c r="V9" t="str">
        <f>Labels!B77</f>
        <v>Gross Margin % - Products</v>
      </c>
      <c r="W9" t="s">
        <v>1534</v>
      </c>
      <c r="X9" t="str">
        <f>Labels!E77</f>
        <v>Gross margin percent (gross margin / revenue) for products, segmented by product and by time period</v>
      </c>
      <c r="Y9" t="s">
        <v>181</v>
      </c>
      <c r="Z9" t="str">
        <f>Labels!B138</f>
        <v>Revenue Growth - Products</v>
      </c>
      <c r="AA9" t="s">
        <v>1102</v>
      </c>
      <c r="AB9" t="str">
        <f>Labels!E138</f>
        <v>Growth rate of product revenue compared to the previous time period, segmented by product, by time period</v>
      </c>
      <c r="AC9" t="s">
        <v>312</v>
      </c>
      <c r="AD9" t="str">
        <f>Labels!B56</f>
        <v>Direct Cost - Products</v>
      </c>
      <c r="AE9" t="s">
        <v>401</v>
      </c>
      <c r="AF9" t="str">
        <f>Labels!E56</f>
        <v>Direct costs incurred in building or acquiring product units, by product, by cost type, and by time period</v>
      </c>
      <c r="AG9" t="s">
        <v>379</v>
      </c>
      <c r="AH9" t="str">
        <f>Labels!B11</f>
        <v>Initial AR - Products</v>
      </c>
      <c r="AI9" t="s">
        <v>706</v>
      </c>
      <c r="AJ9" t="str">
        <f>Labels!E11</f>
        <v>Initial value of accounts receivable from sale of products, at the beginning of model time</v>
      </c>
      <c r="AK9" t="s">
        <v>1176</v>
      </c>
      <c r="AL9" t="str">
        <f>Labels!B9</f>
        <v>Initial Accts Payable</v>
      </c>
      <c r="AM9" t="s">
        <v>924</v>
      </c>
      <c r="AN9" t="str">
        <f>Labels!E9</f>
        <v>Value of accounts payable at the start of model time, segmented by payables type</v>
      </c>
      <c r="AO9" t="s">
        <v>1727</v>
      </c>
      <c r="AP9" t="str">
        <f>Labels!B86</f>
        <v>Initial FG Inventory</v>
      </c>
      <c r="AQ9" t="s">
        <v>1063</v>
      </c>
      <c r="AR9" t="str">
        <f>Labels!E86</f>
        <v>Initial value of finished goods inventory at the start of model time, segmented by product</v>
      </c>
      <c r="AS9" t="s">
        <v>365</v>
      </c>
      <c r="AT9" t="str">
        <f>Labels!B90</f>
        <v>Initial FG Inventory U</v>
      </c>
      <c r="AU9" t="s">
        <v>685</v>
      </c>
      <c r="AV9" t="str">
        <f>Labels!E90</f>
        <v>Initial units of finished goods inventory at the start of model time, segmented by product</v>
      </c>
      <c r="AW9" t="s">
        <v>1184</v>
      </c>
      <c r="AX9" t="str">
        <f>Labels!B48</f>
        <v>Direct Labor Utilization %</v>
      </c>
      <c r="AY9" t="s">
        <v>167</v>
      </c>
      <c r="AZ9" t="str">
        <f>Labels!E48</f>
        <v>Percent of theoretical direct labor hours for production that is used in production of products</v>
      </c>
      <c r="BA9" t="s">
        <v>797</v>
      </c>
      <c r="BB9" t="str">
        <f>Labels!B47</f>
        <v>Unapplied Direct Labor</v>
      </c>
      <c r="BC9" t="s">
        <v>363</v>
      </c>
      <c r="BD9" t="str">
        <f>Labels!E47</f>
        <v>Cost of direct labor for production of products that is not applied to production</v>
      </c>
      <c r="BE9" t="s">
        <v>880</v>
      </c>
      <c r="BF9" t="str">
        <f>Labels!B149</f>
        <v>Round Sales Units?</v>
      </c>
      <c r="BG9" t="s">
        <v>1285</v>
      </c>
      <c r="BH9" t="str">
        <f>Labels!E149</f>
        <v>If you want to round sales units to whole numbers, set to TRUE, else FALSE</v>
      </c>
      <c r="BI9" t="s">
        <v>1475</v>
      </c>
      <c r="BJ9" t="str">
        <f>Labels!B95</f>
        <v>Raw Inventory Targ Days</v>
      </c>
      <c r="BK9" t="s">
        <v>1095</v>
      </c>
      <c r="BL9" t="str">
        <f>Labels!E95</f>
        <v xml:space="preserve">Target levels of raw inventory, expressed as a number of days of unit sales. Segmented by dierct material type and time period. Used to compute inventory and purchases of raw materials. </v>
      </c>
    </row>
    <row r="10" spans="1:64" ht="12.75" customHeight="1" x14ac:dyDescent="0.2">
      <c r="A10" t="s">
        <v>1656</v>
      </c>
      <c r="B10" t="str">
        <f>Labels!B92</f>
        <v>Initial Raw Inventory</v>
      </c>
      <c r="C10" t="s">
        <v>1273</v>
      </c>
      <c r="D10" t="str">
        <f>Labels!E92</f>
        <v>Initial value of raw goods inventory at the start of model time, segmented by direct material type</v>
      </c>
      <c r="E10" t="s">
        <v>849</v>
      </c>
      <c r="F10" t="str">
        <f>Labels!B91</f>
        <v>Raw Matl Inventory</v>
      </c>
      <c r="G10" t="s">
        <v>361</v>
      </c>
      <c r="H10" t="str">
        <f>Labels!E91</f>
        <v>Book value of raw materials inventory, segmented by material type and time period. Uses LIFO inventory accounting.</v>
      </c>
      <c r="I10" t="s">
        <v>164</v>
      </c>
      <c r="J10" t="str">
        <f>Labels!B121</f>
        <v>Purchases Raw Matl</v>
      </c>
      <c r="K10" t="s">
        <v>88</v>
      </c>
      <c r="L10" t="str">
        <f>Labels!E121</f>
        <v>Value of purchases of raw material, segmented by direct material type and time period</v>
      </c>
      <c r="M10" t="s">
        <v>695</v>
      </c>
      <c r="N10" t="str">
        <f>Labels!B168</f>
        <v>Time Period</v>
      </c>
      <c r="O10" t="s">
        <v>68</v>
      </c>
      <c r="P10" t="str">
        <f>Labels!E168</f>
        <v>Counts time in periods of model time, starting from the beginning of model time</v>
      </c>
      <c r="Q10" t="s">
        <v>1555</v>
      </c>
      <c r="R10" t="str">
        <f>Labels!B33</f>
        <v>Chg Bond Principal</v>
      </c>
      <c r="S10" t="s">
        <v>1235</v>
      </c>
      <c r="T10" t="str">
        <f>Labels!E33</f>
        <v>Change in Bond principal from the previous period. The model has a variable for this because (a) this amount will be displayed in the cash flow statement worksheet, and (b) this amount is used in several formulas so it is convenient to store it in a variable. This version of the variable omits the time periods before the model start date.</v>
      </c>
      <c r="U10" t="s">
        <v>532</v>
      </c>
      <c r="V10" t="str">
        <f>Labels!B139</f>
        <v>Revenue Growth - Products</v>
      </c>
      <c r="W10" t="s">
        <v>445</v>
      </c>
      <c r="X10" t="str">
        <f>Labels!E139</f>
        <v>Growth rate of product revenue compared to the previous time period, segmented by product, by time period</v>
      </c>
      <c r="Y10" t="s">
        <v>1487</v>
      </c>
      <c r="Z10" t="str">
        <f>Labels!B145</f>
        <v xml:space="preserve">Sales Unit Growth - Product </v>
      </c>
      <c r="AA10" t="s">
        <v>928</v>
      </c>
      <c r="AB10" t="str">
        <f>Labels!E145</f>
        <v>Measured growth rate of product sales units. This differs from the input assumption for growth rate because of integer rounding of sales units.</v>
      </c>
      <c r="AC10" t="s">
        <v>1763</v>
      </c>
      <c r="AD10" t="str">
        <f>Labels!B105</f>
        <v>Net Stock Issue</v>
      </c>
      <c r="AE10" t="s">
        <v>216</v>
      </c>
      <c r="AF10" t="str">
        <f>Labels!E105</f>
        <v>Book value of stock issued less buy-backs, by time period. This version is truncated to model time for use in display.</v>
      </c>
      <c r="AG10" t="s">
        <v>1263</v>
      </c>
      <c r="AH10" t="str">
        <f>Labels!B24</f>
        <v>Initial Cash</v>
      </c>
      <c r="AI10" t="s">
        <v>265</v>
      </c>
      <c r="AJ10" t="str">
        <f>Labels!E24</f>
        <v>Initial cash balance at the start of model time</v>
      </c>
      <c r="AK10" t="s">
        <v>145</v>
      </c>
      <c r="AL10" t="str">
        <f>Labels!B38</f>
        <v>Term (Yr)</v>
      </c>
      <c r="AM10" t="s">
        <v>690</v>
      </c>
      <c r="AN10" t="str">
        <f>Labels!E38</f>
        <v>The time that deferred revenue is accrued, in years. If contract term is zero, then proceeds are accrued as revenue in the same period they are received.</v>
      </c>
      <c r="AO10" t="s">
        <v>711</v>
      </c>
      <c r="AP10" t="str">
        <f>Labels!B134</f>
        <v>Revenue Growth</v>
      </c>
      <c r="AQ10" t="s">
        <v>1299</v>
      </c>
      <c r="AR10" t="str">
        <f>Labels!E134</f>
        <v>Growth rate of revenue compared to the previous time period, segmented by product, by time period</v>
      </c>
      <c r="AS10" t="s">
        <v>535</v>
      </c>
      <c r="AT10" t="str">
        <f>Labels!B135</f>
        <v>Revenue (non-deferred)</v>
      </c>
      <c r="AU10" t="s">
        <v>1340</v>
      </c>
      <c r="AV10" t="str">
        <f>Labels!E135</f>
        <v>Revenue on a cash basis, segmented by location and time period. Includes product revenue, cash support revenue and cash contract revenue, excluding accruals of deferred revenue, net of sales returns.
Cash revenue drives marketing and selling expenses. Accruals of deferred revenue do not.</v>
      </c>
      <c r="AW10" t="s">
        <v>1192</v>
      </c>
      <c r="AX10" t="str">
        <f>Labels!B120</f>
        <v>Products</v>
      </c>
      <c r="AY10" t="s">
        <v>105</v>
      </c>
      <c r="AZ10" t="str">
        <f>Labels!E120</f>
        <v>Product names. Used in plots.</v>
      </c>
      <c r="BA10" t="s">
        <v>182</v>
      </c>
      <c r="BB10" t="str">
        <f>Labels!B44</f>
        <v>Depts</v>
      </c>
      <c r="BC10" t="s">
        <v>1765</v>
      </c>
      <c r="BD10" t="str">
        <f>Labels!E44</f>
        <v>Department names. Used in plots.</v>
      </c>
      <c r="BE10" t="s">
        <v>884</v>
      </c>
      <c r="BF10" t="str">
        <f>Labels!B159</f>
        <v>Physical Life (Yr)</v>
      </c>
      <c r="BG10" t="s">
        <v>466</v>
      </c>
      <c r="BH10" t="str">
        <f>Labels!E159</f>
        <v>Physical, useful life of each tagged asset expressed in years</v>
      </c>
      <c r="BI10" t="s">
        <v>20</v>
      </c>
      <c r="BJ10" t="str">
        <f>Labels!B158</f>
        <v>Physical Life (period)</v>
      </c>
      <c r="BK10" t="s">
        <v>268</v>
      </c>
      <c r="BL10" t="str">
        <f>Labels!E158</f>
        <v>Depreciation life of each tagged asset expressed in periods of model time</v>
      </c>
    </row>
    <row r="11" spans="1:64" ht="12.75" customHeight="1" x14ac:dyDescent="0.2">
      <c r="A11" t="s">
        <v>72</v>
      </c>
      <c r="B11" t="str">
        <f>Labels!B156</f>
        <v>Deprec Life (periods)</v>
      </c>
      <c r="C11" t="s">
        <v>1520</v>
      </c>
      <c r="D11" t="str">
        <f>Labels!E156</f>
        <v>Depreciation life of each tagged asset expressed in periods of model time</v>
      </c>
      <c r="E11" t="s">
        <v>913</v>
      </c>
      <c r="F11" t="str">
        <f>Labels!B46</f>
        <v xml:space="preserve">Direct Labor Cost / U </v>
      </c>
      <c r="G11" t="s">
        <v>1017</v>
      </c>
      <c r="H11" t="str">
        <f>Labels!E46</f>
        <v>Direct labor costs per product unit produced or acquired, segmented by product and time period. Includes optional production learning effects. You should enter data for the first time period, and for any product and time period in which direct cost per unit changes.</v>
      </c>
      <c r="I11" t="s">
        <v>1272</v>
      </c>
      <c r="J11" t="str">
        <f>Labels!B53</f>
        <v>Direct Overhead / U</v>
      </c>
      <c r="K11" t="s">
        <v>482</v>
      </c>
      <c r="L11" t="str">
        <f>Labels!E53</f>
        <v>Direct overhead costs per product unit produced or acquired, segmented by product and time period. Includes optional production learning effects. 
If you use optional production learning effects, enter data for the first time period, and for any product, material type, and time period in which direct cost per unit changes.</v>
      </c>
      <c r="M11" t="s">
        <v>1807</v>
      </c>
      <c r="N11" t="str">
        <f>Labels!B50</f>
        <v>Direct Material Cost / U</v>
      </c>
      <c r="O11" t="s">
        <v>433</v>
      </c>
      <c r="P11" t="str">
        <f>Labels!E50</f>
        <v>Direct material costs per product unit produced or acquired, segmented by product, material type, and time period. 
If you use optional production learning effects, enter data only in the first time period. Entering data in other cells overwrites the learning curve model.</v>
      </c>
      <c r="Q11" t="s">
        <v>1444</v>
      </c>
      <c r="R11" t="str">
        <f>Labels!B94</f>
        <v>Initial Raw Matl Units</v>
      </c>
      <c r="S11" t="s">
        <v>454</v>
      </c>
      <c r="T11" t="str">
        <f>Labels!E94</f>
        <v>Initial units of raw goods inventory at the start of model time, segmented by direct material type</v>
      </c>
      <c r="U11" t="s">
        <v>1337</v>
      </c>
      <c r="V11" t="str">
        <f>Labels!B122</f>
        <v>Purchases Raw Matl U</v>
      </c>
      <c r="W11" t="s">
        <v>1003</v>
      </c>
      <c r="X11" t="str">
        <f>Labels!E122</f>
        <v>Purchases of units of raw material, segment by direct material time and time period</v>
      </c>
      <c r="Y11" t="s">
        <v>143</v>
      </c>
      <c r="Z11" t="str">
        <f>Labels!B93</f>
        <v>Raw Matl Inventory Units</v>
      </c>
      <c r="AA11" t="s">
        <v>1589</v>
      </c>
      <c r="AB11" t="str">
        <f>Labels!E93</f>
        <v xml:space="preserve">Units of raw material inventory, segmented by direct material type and time period. </v>
      </c>
      <c r="AC11" t="s">
        <v>113</v>
      </c>
      <c r="AD11" t="str">
        <f>Labels!B51</f>
        <v>Dir Matl U / Prodn U</v>
      </c>
      <c r="AE11" t="s">
        <v>669</v>
      </c>
      <c r="AF11" t="str">
        <f>Labels!E51</f>
        <v>The number of units of raw material per product production unit</v>
      </c>
      <c r="AG11" t="s">
        <v>665</v>
      </c>
      <c r="AH11" t="str">
        <f>Labels!B49</f>
        <v>Dir Matl Cost / DM Unit</v>
      </c>
      <c r="AI11" t="s">
        <v>710</v>
      </c>
      <c r="AJ11" t="str">
        <f>Labels!E49</f>
        <v>Cost of direct material per unit of direct material. (This is generally not the same as cost per production unit.)</v>
      </c>
      <c r="AK11" t="s">
        <v>793</v>
      </c>
      <c r="AL11" t="str">
        <f>Labels!B123</f>
        <v>Purch Raw Matl Needs</v>
      </c>
      <c r="AM11" t="s">
        <v>981</v>
      </c>
      <c r="AN11" t="str">
        <f>Labels!E123</f>
        <v>Units of raw material needed for production and to meet inventory targets. Segmented by direct material type and time period.</v>
      </c>
      <c r="AO11" t="s">
        <v>976</v>
      </c>
      <c r="AP11" t="str">
        <f>Labels!B52</f>
        <v>Dir Matl Units Used</v>
      </c>
      <c r="AQ11" t="s">
        <v>1001</v>
      </c>
      <c r="AR11" t="str">
        <f>Labels!E52</f>
        <v>Units of direct material used in production of products. Segmented by direct material type and time period.</v>
      </c>
      <c r="AS11" t="s">
        <v>851</v>
      </c>
      <c r="AT11" t="str">
        <f>Labels!B45</f>
        <v>Direct Labor Cost / U / Yr</v>
      </c>
      <c r="AU11" t="s">
        <v>1782</v>
      </c>
      <c r="AV11" t="str">
        <f>Labels!E45</f>
        <v>Direct labor cost per support unit over one year, segmented by product, by cost type, and by time period.</v>
      </c>
      <c r="AW11" t="s">
        <v>1196</v>
      </c>
      <c r="AX11" t="str">
        <f>Labels!E254</f>
        <v>A hierarchical list of products offered by the company. Each product has a SKU for software license, support service, and SaaS service.</v>
      </c>
      <c r="AY11" t="s">
        <v>330</v>
      </c>
      <c r="AZ11" t="str">
        <f>Labels!B254</f>
        <v>Products</v>
      </c>
      <c r="BA11" t="s">
        <v>652</v>
      </c>
      <c r="BB11" t="str">
        <f>Labels!D254</f>
        <v>Products</v>
      </c>
      <c r="BC11" t="s">
        <v>994</v>
      </c>
      <c r="BD11" t="str">
        <f>Labels!C254</f>
        <v>Total</v>
      </c>
      <c r="BE11" t="s">
        <v>1312</v>
      </c>
      <c r="BF11" t="str">
        <f>Labels!B255</f>
        <v>Product 1</v>
      </c>
      <c r="BG11" t="s">
        <v>701</v>
      </c>
      <c r="BH11" t="str">
        <f>Labels!D255</f>
        <v>Product Family</v>
      </c>
      <c r="BI11" t="s">
        <v>1069</v>
      </c>
      <c r="BJ11" t="str">
        <f>Labels!B256</f>
        <v>Product 2</v>
      </c>
      <c r="BK11" t="s">
        <v>1134</v>
      </c>
      <c r="BL11" t="str">
        <f>Labels!E258</f>
        <v>Sales channels or geographic locations that segment sales revenue and sales units.</v>
      </c>
    </row>
    <row r="12" spans="1:64" ht="12.75" customHeight="1" x14ac:dyDescent="0.2">
      <c r="A12" t="s">
        <v>657</v>
      </c>
      <c r="B12" t="str">
        <f>Labels!B258</f>
        <v>Sales Locations</v>
      </c>
      <c r="C12" t="s">
        <v>650</v>
      </c>
      <c r="D12" t="str">
        <f>Labels!D258</f>
        <v>World</v>
      </c>
      <c r="E12" t="s">
        <v>1091</v>
      </c>
      <c r="F12" t="str">
        <f>Labels!C258</f>
        <v>Total</v>
      </c>
      <c r="G12" t="s">
        <v>1260</v>
      </c>
      <c r="H12" t="str">
        <f>Labels!B259</f>
        <v>Location 1</v>
      </c>
      <c r="I12" t="s">
        <v>1325</v>
      </c>
      <c r="J12" t="str">
        <f>Labels!D259</f>
        <v>Location</v>
      </c>
      <c r="K12" t="s">
        <v>947</v>
      </c>
      <c r="L12" t="str">
        <f>Labels!B260</f>
        <v>Location 2</v>
      </c>
      <c r="M12" t="s">
        <v>266</v>
      </c>
      <c r="N12" t="str">
        <f>Labels!E212</f>
        <v>A list of departments tracked separately in the plan</v>
      </c>
      <c r="O12" t="s">
        <v>815</v>
      </c>
      <c r="P12" t="str">
        <f>Labels!B212</f>
        <v>Department</v>
      </c>
      <c r="Q12" t="s">
        <v>1775</v>
      </c>
      <c r="R12" t="str">
        <f>Labels!D212</f>
        <v>Organization</v>
      </c>
      <c r="S12" t="s">
        <v>1786</v>
      </c>
      <c r="T12" t="str">
        <f>Labels!C212</f>
        <v>Total</v>
      </c>
      <c r="U12" t="s">
        <v>927</v>
      </c>
      <c r="V12" t="str">
        <f>Labels!B213</f>
        <v>Sales</v>
      </c>
      <c r="W12" t="s">
        <v>953</v>
      </c>
      <c r="X12" t="str">
        <f>Labels!D213</f>
        <v>Department</v>
      </c>
      <c r="Y12" t="s">
        <v>413</v>
      </c>
      <c r="Z12" t="str">
        <f>Labels!B214</f>
        <v>Marketing</v>
      </c>
      <c r="AA12" t="s">
        <v>1741</v>
      </c>
      <c r="AB12" t="str">
        <f>Labels!E246</f>
        <v>A list of the types of operating expenses that are tracked separately in the plan</v>
      </c>
      <c r="AC12" t="s">
        <v>89</v>
      </c>
      <c r="AD12" t="str">
        <f>Labels!B246</f>
        <v>Operating Exp Type</v>
      </c>
      <c r="AE12" t="s">
        <v>1218</v>
      </c>
      <c r="AF12" t="str">
        <f>Labels!D246</f>
        <v>Operating Expense</v>
      </c>
      <c r="AG12" t="s">
        <v>609</v>
      </c>
      <c r="AH12" t="str">
        <f>Labels!C246</f>
        <v>Total</v>
      </c>
      <c r="AI12" t="s">
        <v>1387</v>
      </c>
      <c r="AJ12" t="str">
        <f>Labels!B247</f>
        <v>Indirect Labor</v>
      </c>
      <c r="AK12" t="s">
        <v>646</v>
      </c>
      <c r="AL12" t="str">
        <f>Labels!D247</f>
        <v>Expense Type</v>
      </c>
      <c r="AM12" t="s">
        <v>385</v>
      </c>
      <c r="AN12" t="str">
        <f>Labels!B248</f>
        <v>Employee-Related</v>
      </c>
      <c r="AO12" t="s">
        <v>1306</v>
      </c>
      <c r="AP12" t="str">
        <f>Labels!B249</f>
        <v>Dept Exp Accts</v>
      </c>
      <c r="AQ12" t="s">
        <v>718</v>
      </c>
      <c r="AR12" t="str">
        <f>Labels!B250</f>
        <v>Programs</v>
      </c>
      <c r="AS12" t="s">
        <v>1274</v>
      </c>
      <c r="AT12" t="str">
        <f>Labels!B251</f>
        <v>Facilities</v>
      </c>
      <c r="AU12" t="s">
        <v>1605</v>
      </c>
      <c r="AV12" t="str">
        <f>Labels!B252</f>
        <v>General &amp; Admin</v>
      </c>
      <c r="AW12" t="s">
        <v>409</v>
      </c>
      <c r="AX12" t="str">
        <f>Labels!E230</f>
        <v>A list of types of general &amp; administrative expenses tracked separately in the plan</v>
      </c>
      <c r="AY12" t="s">
        <v>1597</v>
      </c>
      <c r="AZ12" t="str">
        <f>Labels!B230</f>
        <v>Gen &amp; Admin Exp</v>
      </c>
      <c r="BA12" t="s">
        <v>150</v>
      </c>
      <c r="BB12" t="str">
        <f>Labels!D230</f>
        <v>Gen Admin</v>
      </c>
      <c r="BC12" t="s">
        <v>1031</v>
      </c>
      <c r="BD12" t="str">
        <f>Labels!C230</f>
        <v>Total</v>
      </c>
      <c r="BE12" t="s">
        <v>828</v>
      </c>
      <c r="BF12" t="str">
        <f>Labels!B231</f>
        <v>IT Expense</v>
      </c>
      <c r="BG12" t="s">
        <v>1609</v>
      </c>
      <c r="BH12" t="str">
        <f>Labels!D231</f>
        <v>Gen &amp; Admin Exp 1</v>
      </c>
      <c r="BI12" t="s">
        <v>688</v>
      </c>
      <c r="BJ12" t="str">
        <f>Labels!E221</f>
        <v>A list of types of employee-related operating expenses tracked separately in the plan. Wages and wage-related expenses are tracked separately.</v>
      </c>
      <c r="BK12" t="s">
        <v>700</v>
      </c>
      <c r="BL12" t="str">
        <f>Labels!B221</f>
        <v>Employee Rel Exp Type</v>
      </c>
    </row>
    <row r="13" spans="1:64" ht="12.75" customHeight="1" x14ac:dyDescent="0.2">
      <c r="A13" t="s">
        <v>1163</v>
      </c>
      <c r="B13" t="str">
        <f>Labels!D221</f>
        <v>Employee Rel Exp Type</v>
      </c>
      <c r="C13" t="s">
        <v>1739</v>
      </c>
      <c r="D13" t="str">
        <f>Labels!C221</f>
        <v>Total</v>
      </c>
      <c r="E13" t="s">
        <v>856</v>
      </c>
      <c r="F13" t="str">
        <f>Labels!B222</f>
        <v>Supplies</v>
      </c>
      <c r="G13" t="s">
        <v>1161</v>
      </c>
      <c r="H13" t="str">
        <f>Labels!D222</f>
        <v>Employee Rel Exp Type</v>
      </c>
      <c r="I13" t="s">
        <v>833</v>
      </c>
      <c r="J13" t="str">
        <f>Labels!B223</f>
        <v>Travel Entertainment</v>
      </c>
      <c r="K13" t="s">
        <v>664</v>
      </c>
      <c r="L13" t="str">
        <f>Labels!B224</f>
        <v>Other</v>
      </c>
      <c r="M13" t="s">
        <v>1178</v>
      </c>
      <c r="N13" t="str">
        <f>Labels!E180</f>
        <v>A list of the types of accounts payable</v>
      </c>
      <c r="O13" t="s">
        <v>1409</v>
      </c>
      <c r="P13" t="str">
        <f>Labels!B180</f>
        <v>Accts Payable Type</v>
      </c>
      <c r="Q13" t="s">
        <v>1034</v>
      </c>
      <c r="R13" t="str">
        <f>Labels!D180</f>
        <v>Accts Payable Type</v>
      </c>
      <c r="S13" t="s">
        <v>1628</v>
      </c>
      <c r="T13" t="str">
        <f>Labels!C180</f>
        <v>Total</v>
      </c>
      <c r="U13" t="s">
        <v>730</v>
      </c>
      <c r="V13" t="str">
        <f>Labels!B181</f>
        <v>Vendor Payables</v>
      </c>
      <c r="W13" t="s">
        <v>1137</v>
      </c>
      <c r="X13" t="str">
        <f>Labels!D181</f>
        <v>Accts Payable Type</v>
      </c>
      <c r="Y13" t="s">
        <v>35</v>
      </c>
      <c r="Z13" t="str">
        <f>Labels!B182</f>
        <v>Payroll Payables</v>
      </c>
      <c r="AA13" t="s">
        <v>1081</v>
      </c>
      <c r="AB13" t="str">
        <f>Labels!B183</f>
        <v>Taxes Payable</v>
      </c>
      <c r="AC13" t="s">
        <v>1103</v>
      </c>
      <c r="AD13" t="str">
        <f>Labels!E233</f>
        <v>Job levels that are tracked separately in the plan</v>
      </c>
      <c r="AE13" t="s">
        <v>1281</v>
      </c>
      <c r="AF13" t="str">
        <f>Labels!B233</f>
        <v>Job Levels</v>
      </c>
      <c r="AG13" t="s">
        <v>1356</v>
      </c>
      <c r="AH13" t="str">
        <f>Labels!D233</f>
        <v>Job Level</v>
      </c>
      <c r="AI13" t="s">
        <v>162</v>
      </c>
      <c r="AJ13" t="str">
        <f>Labels!C233</f>
        <v>Total</v>
      </c>
      <c r="AK13" t="s">
        <v>914</v>
      </c>
      <c r="AL13" t="str">
        <f>Labels!B234</f>
        <v>Job Level 1</v>
      </c>
      <c r="AM13" t="s">
        <v>982</v>
      </c>
      <c r="AN13" t="str">
        <f>Labels!D234</f>
        <v>Job Level2</v>
      </c>
      <c r="AO13" t="s">
        <v>916</v>
      </c>
      <c r="AP13" t="str">
        <f>Labels!B235</f>
        <v>Job Level 2</v>
      </c>
      <c r="AQ13" t="s">
        <v>1814</v>
      </c>
      <c r="AR13" t="str">
        <f>Labels!E188</f>
        <v>A hierarchical list of the types of assets that are tracked separately in the plan</v>
      </c>
      <c r="AS13" t="s">
        <v>639</v>
      </c>
      <c r="AT13" t="str">
        <f>Labels!B188</f>
        <v>Assets</v>
      </c>
      <c r="AU13" t="s">
        <v>1270</v>
      </c>
      <c r="AV13" t="str">
        <f>Labels!D188</f>
        <v>Assets</v>
      </c>
      <c r="AW13" t="s">
        <v>1811</v>
      </c>
      <c r="AX13" t="str">
        <f>Labels!C188</f>
        <v>Total</v>
      </c>
      <c r="AY13" t="s">
        <v>359</v>
      </c>
      <c r="AZ13" t="str">
        <f>Labels!B189</f>
        <v>Short Term Assets</v>
      </c>
      <c r="BA13" t="s">
        <v>1759</v>
      </c>
      <c r="BB13" t="str">
        <f>Labels!D189</f>
        <v>Term</v>
      </c>
      <c r="BC13" t="s">
        <v>719</v>
      </c>
      <c r="BD13" t="str">
        <f>Labels!C189</f>
        <v>Subtotal</v>
      </c>
      <c r="BE13" t="s">
        <v>1422</v>
      </c>
      <c r="BF13" t="str">
        <f>Labels!B190</f>
        <v>Cash</v>
      </c>
      <c r="BG13" t="s">
        <v>1135</v>
      </c>
      <c r="BH13" t="str">
        <f>Labels!D190</f>
        <v>Asset Type</v>
      </c>
      <c r="BI13" t="s">
        <v>382</v>
      </c>
      <c r="BJ13" t="str">
        <f>Labels!B191</f>
        <v>Accounts Receivable</v>
      </c>
      <c r="BK13" t="s">
        <v>753</v>
      </c>
      <c r="BL13" t="str">
        <f>Labels!B192</f>
        <v>Inventory</v>
      </c>
    </row>
    <row r="14" spans="1:64" ht="12.75" customHeight="1" x14ac:dyDescent="0.2">
      <c r="A14" t="s">
        <v>1445</v>
      </c>
      <c r="B14" t="str">
        <f>Labels!B193</f>
        <v>Long Term Assets</v>
      </c>
      <c r="C14" t="s">
        <v>211</v>
      </c>
      <c r="D14" t="str">
        <f>Labels!E237</f>
        <v>A hierarchical list of the types of liabilities that are tracked separately in the plan</v>
      </c>
      <c r="E14" t="s">
        <v>165</v>
      </c>
      <c r="F14" t="str">
        <f>Labels!B237</f>
        <v>Liabilities</v>
      </c>
      <c r="G14" t="s">
        <v>443</v>
      </c>
      <c r="H14" t="str">
        <f>Labels!D237</f>
        <v>Liabilities</v>
      </c>
      <c r="I14" t="s">
        <v>827</v>
      </c>
      <c r="J14" t="str">
        <f>Labels!C237</f>
        <v>Total</v>
      </c>
      <c r="K14" t="s">
        <v>1781</v>
      </c>
      <c r="L14" t="str">
        <f>Labels!B238</f>
        <v>Short Liabilities</v>
      </c>
      <c r="M14" t="s">
        <v>624</v>
      </c>
      <c r="N14" t="str">
        <f>Labels!D238</f>
        <v>Term</v>
      </c>
      <c r="O14" t="s">
        <v>1183</v>
      </c>
      <c r="P14" t="str">
        <f>Labels!C238</f>
        <v>Subtotal</v>
      </c>
      <c r="Q14" t="s">
        <v>1451</v>
      </c>
      <c r="R14" t="str">
        <f>Labels!B239</f>
        <v>Accounts Payable</v>
      </c>
      <c r="S14" t="s">
        <v>464</v>
      </c>
      <c r="T14" t="str">
        <f>Labels!D239</f>
        <v>Liability Type</v>
      </c>
      <c r="U14" t="s">
        <v>1691</v>
      </c>
      <c r="V14" t="str">
        <f>Labels!B240</f>
        <v>Short Term Debt</v>
      </c>
      <c r="W14" t="s">
        <v>1718</v>
      </c>
      <c r="X14" t="str">
        <f>Labels!B241</f>
        <v>Deferred Revenue</v>
      </c>
      <c r="Y14" t="s">
        <v>940</v>
      </c>
      <c r="Z14" t="str">
        <f>Labels!B242</f>
        <v>Long Liabilities</v>
      </c>
      <c r="AA14" t="s">
        <v>1429</v>
      </c>
      <c r="AB14" t="str">
        <f>Labels!C242</f>
        <v>Subtotal</v>
      </c>
      <c r="AC14" t="s">
        <v>1043</v>
      </c>
      <c r="AD14" t="str">
        <f>Labels!B243</f>
        <v>Long Term Loans</v>
      </c>
      <c r="AE14" t="s">
        <v>1439</v>
      </c>
      <c r="AF14" t="str">
        <f>Labels!B244</f>
        <v>Bonds</v>
      </c>
      <c r="AG14" t="s">
        <v>1590</v>
      </c>
      <c r="AH14" t="str">
        <f>Labels!E226</f>
        <v>A list of the equity accounts that are tracked separately in the plan</v>
      </c>
      <c r="AI14" t="s">
        <v>1631</v>
      </c>
      <c r="AJ14" t="str">
        <f>Labels!B226</f>
        <v>Equity</v>
      </c>
      <c r="AK14" t="s">
        <v>1313</v>
      </c>
      <c r="AL14" t="str">
        <f>Labels!D226</f>
        <v>Equity</v>
      </c>
      <c r="AM14" t="s">
        <v>449</v>
      </c>
      <c r="AN14" t="str">
        <f>Labels!C226</f>
        <v>Total</v>
      </c>
      <c r="AO14" t="s">
        <v>81</v>
      </c>
      <c r="AP14" t="str">
        <f>Labels!B227</f>
        <v>Paid in Capital</v>
      </c>
      <c r="AQ14" t="s">
        <v>23</v>
      </c>
      <c r="AR14" t="str">
        <f>Labels!D227</f>
        <v>Equity_Type</v>
      </c>
      <c r="AS14" t="s">
        <v>610</v>
      </c>
      <c r="AT14" t="str">
        <f>Labels!B228</f>
        <v>Retained Earnings</v>
      </c>
      <c r="AU14" t="s">
        <v>529</v>
      </c>
      <c r="AV14" t="str">
        <f>Labels!E185</f>
        <v>A list of the assets that are tagged for separate depreciation in the plan.</v>
      </c>
      <c r="AW14" t="s">
        <v>1047</v>
      </c>
      <c r="AX14" t="str">
        <f>Labels!B185</f>
        <v>Asset Tags</v>
      </c>
      <c r="AY14" t="s">
        <v>959</v>
      </c>
      <c r="AZ14" t="str">
        <f>Labels!D185</f>
        <v>Tag</v>
      </c>
      <c r="BA14" t="s">
        <v>1219</v>
      </c>
      <c r="BB14" t="str">
        <f>Labels!C185</f>
        <v>Total</v>
      </c>
      <c r="BC14" t="s">
        <v>1637</v>
      </c>
      <c r="BD14" t="str">
        <f>Labels!B186</f>
        <v>Asset 1</v>
      </c>
      <c r="BE14" t="s">
        <v>297</v>
      </c>
      <c r="BF14" t="str">
        <f>Labels!D186</f>
        <v>Tag</v>
      </c>
      <c r="BG14" t="s">
        <v>1683</v>
      </c>
      <c r="BH14" t="str">
        <f>Labels!E216</f>
        <v>Types of costs tracked in direct costs and cost of goods</v>
      </c>
      <c r="BI14" t="s">
        <v>563</v>
      </c>
      <c r="BJ14" t="str">
        <f>Labels!B216</f>
        <v>Dir Cost Types</v>
      </c>
      <c r="BK14" t="s">
        <v>1615</v>
      </c>
      <c r="BL14" t="str">
        <f>Labels!D216</f>
        <v>Dir Cost Type</v>
      </c>
    </row>
    <row r="15" spans="1:64" ht="12.75" customHeight="1" x14ac:dyDescent="0.2">
      <c r="A15" t="s">
        <v>39</v>
      </c>
      <c r="B15" t="str">
        <f>Labels!C216</f>
        <v>Total</v>
      </c>
      <c r="C15" t="s">
        <v>24</v>
      </c>
      <c r="D15" t="str">
        <f>Labels!B217</f>
        <v>Dir Material</v>
      </c>
      <c r="E15" t="s">
        <v>399</v>
      </c>
      <c r="F15" t="str">
        <f>Labels!D217</f>
        <v>Cogs_Types</v>
      </c>
      <c r="G15" t="s">
        <v>1535</v>
      </c>
      <c r="H15" t="str">
        <f>Labels!B218</f>
        <v>Dir Labor</v>
      </c>
      <c r="I15" t="s">
        <v>892</v>
      </c>
      <c r="J15" t="str">
        <f>Labels!B219</f>
        <v>Dir Overhead</v>
      </c>
      <c r="K15" t="s">
        <v>1694</v>
      </c>
      <c r="L15">
        <f>Labels!E195</f>
        <v>0</v>
      </c>
      <c r="M15" t="s">
        <v>1820</v>
      </c>
      <c r="N15" t="str">
        <f>Labels!B195</f>
        <v>Cash Sources</v>
      </c>
      <c r="O15" t="s">
        <v>1826</v>
      </c>
      <c r="P15" t="str">
        <f>Labels!D195</f>
        <v>Cash_Sources</v>
      </c>
      <c r="Q15" t="s">
        <v>673</v>
      </c>
      <c r="R15" t="str">
        <f>Labels!C195</f>
        <v>Total</v>
      </c>
      <c r="S15" t="s">
        <v>1815</v>
      </c>
      <c r="T15" t="str">
        <f>Labels!B196</f>
        <v>Net Income</v>
      </c>
      <c r="U15" t="s">
        <v>1464</v>
      </c>
      <c r="V15" t="str">
        <f>Labels!D196</f>
        <v>Cash_Sources</v>
      </c>
      <c r="W15" t="s">
        <v>1548</v>
      </c>
      <c r="X15" t="str">
        <f>Labels!B197</f>
        <v>Deferred Revenue</v>
      </c>
      <c r="Y15" t="s">
        <v>1638</v>
      </c>
      <c r="Z15" t="str">
        <f>Labels!B198</f>
        <v>Chg Accts Payable</v>
      </c>
      <c r="AA15" t="s">
        <v>1322</v>
      </c>
      <c r="AB15" t="str">
        <f>Labels!B199</f>
        <v>Chg Short-Term Debt</v>
      </c>
      <c r="AC15" t="s">
        <v>99</v>
      </c>
      <c r="AD15" t="str">
        <f>Labels!B200</f>
        <v>Depreciation &amp; Salvage</v>
      </c>
      <c r="AE15" t="s">
        <v>592</v>
      </c>
      <c r="AF15" t="str">
        <f>Labels!B201</f>
        <v>Chg Long-Term Debt</v>
      </c>
      <c r="AG15" t="s">
        <v>754</v>
      </c>
      <c r="AH15" t="str">
        <f>Labels!B202</f>
        <v>Chg Bond Principal</v>
      </c>
      <c r="AI15" t="s">
        <v>106</v>
      </c>
      <c r="AJ15" t="str">
        <f>Labels!B203</f>
        <v>Net Stock Issue</v>
      </c>
      <c r="AK15" t="s">
        <v>1401</v>
      </c>
      <c r="AL15">
        <f>Labels!E205</f>
        <v>0</v>
      </c>
      <c r="AM15" t="s">
        <v>1132</v>
      </c>
      <c r="AN15" t="str">
        <f>Labels!B205</f>
        <v>Cash Uses</v>
      </c>
      <c r="AO15" t="s">
        <v>1770</v>
      </c>
      <c r="AP15" t="str">
        <f>Labels!D205</f>
        <v>Cash_Uses</v>
      </c>
      <c r="AQ15" t="s">
        <v>1086</v>
      </c>
      <c r="AR15" t="str">
        <f>Labels!C205</f>
        <v>Total</v>
      </c>
      <c r="AS15" t="s">
        <v>147</v>
      </c>
      <c r="AT15" t="str">
        <f>Labels!B206</f>
        <v>Chg Accts Receivable</v>
      </c>
      <c r="AU15" t="s">
        <v>963</v>
      </c>
      <c r="AV15" t="str">
        <f>Labels!D206</f>
        <v>Cash_Uses</v>
      </c>
      <c r="AW15" t="s">
        <v>658</v>
      </c>
      <c r="AX15" t="str">
        <f>Labels!B207</f>
        <v>Chg Inventory</v>
      </c>
      <c r="AY15" t="s">
        <v>751</v>
      </c>
      <c r="AZ15" t="str">
        <f>Labels!B208</f>
        <v>Long-Term Asset Purchases</v>
      </c>
      <c r="BA15" t="s">
        <v>573</v>
      </c>
      <c r="BB15" t="str">
        <f>Labels!B209</f>
        <v>New Cap'd Development</v>
      </c>
      <c r="BC15" t="s">
        <v>356</v>
      </c>
      <c r="BD15" t="str">
        <f>Labels!B210</f>
        <v>Dividend</v>
      </c>
      <c r="BE15" t="s">
        <v>1249</v>
      </c>
      <c r="BF15">
        <f>Labels!B3</f>
        <v>40544</v>
      </c>
    </row>
    <row r="16" spans="1:64" ht="12.75" customHeight="1" x14ac:dyDescent="0.2">
      <c r="A16" t="s">
        <v>74</v>
      </c>
      <c r="B16">
        <f>Graphs!A1</f>
        <v>0</v>
      </c>
      <c r="C16" t="s">
        <v>1130</v>
      </c>
      <c r="D16" t="str">
        <f>Inputs!A1</f>
        <v>ABC Corp.</v>
      </c>
      <c r="E16" t="s">
        <v>1130</v>
      </c>
      <c r="F16" t="str">
        <f>IncStmt!A1</f>
        <v>ABC Corp.</v>
      </c>
      <c r="G16" t="s">
        <v>1130</v>
      </c>
      <c r="H16" t="str">
        <f>BalSht!A1</f>
        <v>ABC Corp.</v>
      </c>
      <c r="I16" t="s">
        <v>1130</v>
      </c>
      <c r="J16" t="str">
        <f>CFStmt!A1</f>
        <v>ABC Corp.</v>
      </c>
      <c r="K16" t="s">
        <v>1130</v>
      </c>
      <c r="L16" t="str">
        <f>RatioRpt!A1</f>
        <v>ABC Corp.</v>
      </c>
      <c r="M16" t="s">
        <v>1130</v>
      </c>
      <c r="N16" t="str">
        <f>Sales!A1</f>
        <v>ABC Corp.</v>
      </c>
      <c r="O16" t="s">
        <v>1130</v>
      </c>
      <c r="P16" t="str">
        <f>'Cogs GM'!A1</f>
        <v>ABC Corp.</v>
      </c>
      <c r="Q16" t="s">
        <v>1130</v>
      </c>
      <c r="R16" t="str">
        <f>OpExp!A1</f>
        <v>ABC Corp.</v>
      </c>
      <c r="S16" t="s">
        <v>1130</v>
      </c>
      <c r="T16" t="str">
        <f>'Indirect Labor'!A1</f>
        <v>ABC Corp.</v>
      </c>
      <c r="U16" t="s">
        <v>1130</v>
      </c>
      <c r="V16" t="str">
        <f>FinTax!A1</f>
        <v>ABC Corp.</v>
      </c>
      <c r="W16" t="s">
        <v>1130</v>
      </c>
      <c r="X16" t="str">
        <f>Assets!A1</f>
        <v>ABC Corp.</v>
      </c>
      <c r="Y16" t="s">
        <v>1130</v>
      </c>
      <c r="Z16" t="str">
        <f>Liab!A1</f>
        <v>ABC Corp.</v>
      </c>
      <c r="AA16" t="s">
        <v>1130</v>
      </c>
      <c r="AB16" t="str">
        <f>Equity!A1</f>
        <v>ABC Corp.</v>
      </c>
      <c r="AC16" t="s">
        <v>1130</v>
      </c>
      <c r="AD16" t="str">
        <f>Formulas!A1</f>
        <v>ABC Corp.</v>
      </c>
      <c r="AE16" t="s">
        <v>1130</v>
      </c>
      <c r="AF16" t="str">
        <f>'Plot Support'!A1</f>
        <v>ABC Corp.</v>
      </c>
      <c r="AG16" t="s">
        <v>1130</v>
      </c>
      <c r="AH16" t="str">
        <f>'(Compute)'!A1</f>
        <v>ABC Corp.</v>
      </c>
      <c r="AI16" t="s">
        <v>1130</v>
      </c>
      <c r="AJ16" t="str">
        <f>'(FnCalls 1)'!A1</f>
        <v>ABC Corp.</v>
      </c>
      <c r="AK16" t="s">
        <v>1130</v>
      </c>
      <c r="AL16" t="str">
        <f>'(Tables)'!A1</f>
        <v>ABC Corp.</v>
      </c>
      <c r="AM16" t="s">
        <v>1130</v>
      </c>
      <c r="AN16" t="str">
        <f>Labels!A1</f>
        <v>ABC Corp.</v>
      </c>
      <c r="AO16" t="s">
        <v>1130</v>
      </c>
      <c r="AP16">
        <f>'(Ranges)'!A1</f>
        <v>0</v>
      </c>
      <c r="AQ16" t="s">
        <v>1130</v>
      </c>
      <c r="AR16" t="str">
        <f>'(Import)'!A1</f>
        <v>:A:0:Time</v>
      </c>
    </row>
    <row r="17" spans="1:64" ht="12.75" customHeight="1" x14ac:dyDescent="0.2">
      <c r="A17" t="s">
        <v>825</v>
      </c>
      <c r="B17" t="str">
        <f>Inputs!D7</f>
        <v>ABC Corp.</v>
      </c>
      <c r="C17" t="s">
        <v>402</v>
      </c>
      <c r="D17" t="b">
        <f>Inputs!D14</f>
        <v>1</v>
      </c>
      <c r="E17" t="s">
        <v>583</v>
      </c>
      <c r="F17">
        <f>Inputs!D18</f>
        <v>0</v>
      </c>
      <c r="G17" t="s">
        <v>1695</v>
      </c>
      <c r="H17">
        <f>Inputs!E18</f>
        <v>0</v>
      </c>
      <c r="I17" t="s">
        <v>1101</v>
      </c>
      <c r="J17">
        <f>Inputs!F18</f>
        <v>0</v>
      </c>
      <c r="K17" t="s">
        <v>1291</v>
      </c>
      <c r="L17">
        <f>Inputs!G18</f>
        <v>0</v>
      </c>
      <c r="M17" t="s">
        <v>1365</v>
      </c>
      <c r="N17">
        <f>Inputs!H18</f>
        <v>0</v>
      </c>
      <c r="O17" t="s">
        <v>283</v>
      </c>
      <c r="P17">
        <f>Inputs!I18</f>
        <v>0</v>
      </c>
      <c r="Q17" t="s">
        <v>9</v>
      </c>
      <c r="R17">
        <f>Inputs!D19</f>
        <v>0</v>
      </c>
      <c r="S17" t="s">
        <v>1515</v>
      </c>
      <c r="T17">
        <f>Inputs!E19</f>
        <v>0</v>
      </c>
      <c r="U17" t="s">
        <v>238</v>
      </c>
      <c r="V17">
        <f>Inputs!F19</f>
        <v>0</v>
      </c>
      <c r="W17" t="s">
        <v>79</v>
      </c>
      <c r="X17">
        <f>Inputs!G19</f>
        <v>0</v>
      </c>
      <c r="Y17" t="s">
        <v>1532</v>
      </c>
      <c r="Z17">
        <f>Inputs!H19</f>
        <v>0</v>
      </c>
      <c r="AA17" t="s">
        <v>229</v>
      </c>
      <c r="AB17">
        <f>Inputs!I19</f>
        <v>0</v>
      </c>
      <c r="AC17" t="s">
        <v>93</v>
      </c>
      <c r="AD17">
        <f>Inputs!D20</f>
        <v>0</v>
      </c>
      <c r="AE17" t="s">
        <v>550</v>
      </c>
      <c r="AF17">
        <f>Inputs!E20</f>
        <v>0</v>
      </c>
      <c r="AG17" t="s">
        <v>1084</v>
      </c>
      <c r="AH17">
        <f>Inputs!F20</f>
        <v>0</v>
      </c>
      <c r="AI17" t="s">
        <v>1145</v>
      </c>
      <c r="AJ17">
        <f>Inputs!G20</f>
        <v>0</v>
      </c>
      <c r="AK17" t="s">
        <v>528</v>
      </c>
      <c r="AL17">
        <f>Inputs!H20</f>
        <v>0</v>
      </c>
      <c r="AM17" t="s">
        <v>1688</v>
      </c>
      <c r="AN17">
        <f>Inputs!I20</f>
        <v>0</v>
      </c>
      <c r="AO17" t="s">
        <v>812</v>
      </c>
      <c r="AP17">
        <f>Inputs!D21</f>
        <v>0</v>
      </c>
      <c r="AQ17" t="s">
        <v>992</v>
      </c>
      <c r="AR17">
        <f>Inputs!E21</f>
        <v>0</v>
      </c>
      <c r="AS17" t="s">
        <v>325</v>
      </c>
      <c r="AT17">
        <f>Inputs!F21</f>
        <v>0</v>
      </c>
      <c r="AU17" t="s">
        <v>447</v>
      </c>
      <c r="AV17">
        <f>Inputs!G21</f>
        <v>0</v>
      </c>
      <c r="AW17" t="s">
        <v>1338</v>
      </c>
      <c r="AX17">
        <f>Inputs!H21</f>
        <v>0</v>
      </c>
      <c r="AY17" t="s">
        <v>191</v>
      </c>
      <c r="AZ17">
        <f>Inputs!I21</f>
        <v>0</v>
      </c>
      <c r="BA17" t="s">
        <v>570</v>
      </c>
      <c r="BB17">
        <f>Inputs!D23</f>
        <v>0</v>
      </c>
      <c r="BC17" t="s">
        <v>968</v>
      </c>
      <c r="BD17">
        <f>Inputs!E23</f>
        <v>0</v>
      </c>
      <c r="BE17" t="s">
        <v>890</v>
      </c>
      <c r="BF17">
        <f>Inputs!F23</f>
        <v>0</v>
      </c>
      <c r="BG17" t="s">
        <v>418</v>
      </c>
      <c r="BH17">
        <f>Inputs!G23</f>
        <v>0</v>
      </c>
      <c r="BI17" t="s">
        <v>284</v>
      </c>
      <c r="BJ17">
        <f>Inputs!H23</f>
        <v>0</v>
      </c>
      <c r="BK17" t="s">
        <v>1502</v>
      </c>
      <c r="BL17">
        <f>Inputs!I23</f>
        <v>0</v>
      </c>
    </row>
    <row r="18" spans="1:64" ht="12.75" customHeight="1" x14ac:dyDescent="0.2">
      <c r="A18" t="s">
        <v>853</v>
      </c>
      <c r="B18">
        <f>Inputs!D24</f>
        <v>0</v>
      </c>
      <c r="C18" t="s">
        <v>11</v>
      </c>
      <c r="D18">
        <f>Inputs!E24</f>
        <v>0</v>
      </c>
      <c r="E18" t="s">
        <v>633</v>
      </c>
      <c r="F18">
        <f>Inputs!F24</f>
        <v>0</v>
      </c>
      <c r="G18" t="s">
        <v>1398</v>
      </c>
      <c r="H18">
        <f>Inputs!G24</f>
        <v>0</v>
      </c>
      <c r="I18" t="s">
        <v>371</v>
      </c>
      <c r="J18">
        <f>Inputs!H24</f>
        <v>0</v>
      </c>
      <c r="K18" t="s">
        <v>875</v>
      </c>
      <c r="L18">
        <f>Inputs!I24</f>
        <v>0</v>
      </c>
      <c r="M18" t="s">
        <v>1477</v>
      </c>
      <c r="N18">
        <f>Inputs!D25</f>
        <v>0</v>
      </c>
      <c r="O18" t="s">
        <v>1125</v>
      </c>
      <c r="P18">
        <f>Inputs!E25</f>
        <v>0</v>
      </c>
      <c r="Q18" t="s">
        <v>1767</v>
      </c>
      <c r="R18">
        <f>Inputs!F25</f>
        <v>0</v>
      </c>
      <c r="S18" t="s">
        <v>838</v>
      </c>
      <c r="T18">
        <f>Inputs!G25</f>
        <v>0</v>
      </c>
      <c r="U18" t="s">
        <v>1496</v>
      </c>
      <c r="V18">
        <f>Inputs!H25</f>
        <v>0</v>
      </c>
      <c r="W18" t="s">
        <v>1097</v>
      </c>
      <c r="X18">
        <f>Inputs!I25</f>
        <v>0</v>
      </c>
      <c r="Y18" t="s">
        <v>1147</v>
      </c>
      <c r="Z18">
        <f>Inputs!D26</f>
        <v>0</v>
      </c>
      <c r="AA18" t="s">
        <v>1207</v>
      </c>
      <c r="AB18">
        <f>Inputs!E26</f>
        <v>0</v>
      </c>
      <c r="AC18" t="s">
        <v>450</v>
      </c>
      <c r="AD18">
        <f>Inputs!F26</f>
        <v>0</v>
      </c>
      <c r="AE18" t="s">
        <v>715</v>
      </c>
      <c r="AF18">
        <f>Inputs!G26</f>
        <v>0</v>
      </c>
      <c r="AG18" t="s">
        <v>1654</v>
      </c>
      <c r="AH18">
        <f>Inputs!H26</f>
        <v>0</v>
      </c>
      <c r="AI18" t="s">
        <v>327</v>
      </c>
      <c r="AJ18">
        <f>Inputs!I26</f>
        <v>0</v>
      </c>
      <c r="AK18" t="s">
        <v>308</v>
      </c>
      <c r="AL18">
        <f>Inputs!D33</f>
        <v>1</v>
      </c>
      <c r="AM18" t="s">
        <v>586</v>
      </c>
      <c r="AN18">
        <f>Inputs!E33</f>
        <v>1</v>
      </c>
      <c r="AO18" t="s">
        <v>368</v>
      </c>
      <c r="AP18">
        <f>Inputs!F33</f>
        <v>1</v>
      </c>
      <c r="AQ18" t="s">
        <v>1373</v>
      </c>
      <c r="AR18">
        <f>Inputs!G33</f>
        <v>1</v>
      </c>
      <c r="AS18" t="s">
        <v>133</v>
      </c>
      <c r="AT18">
        <f>Inputs!H33</f>
        <v>1</v>
      </c>
      <c r="AU18" t="s">
        <v>1612</v>
      </c>
      <c r="AV18">
        <f>Inputs!I33</f>
        <v>1</v>
      </c>
      <c r="AW18" t="s">
        <v>193</v>
      </c>
      <c r="AX18">
        <f>Inputs!D34</f>
        <v>1</v>
      </c>
      <c r="AY18" t="s">
        <v>809</v>
      </c>
      <c r="AZ18">
        <f>Inputs!E34</f>
        <v>1</v>
      </c>
      <c r="BA18" t="s">
        <v>434</v>
      </c>
      <c r="BB18">
        <f>Inputs!F34</f>
        <v>1</v>
      </c>
      <c r="BC18" t="s">
        <v>391</v>
      </c>
      <c r="BD18">
        <f>Inputs!G34</f>
        <v>1</v>
      </c>
      <c r="BE18" t="s">
        <v>1323</v>
      </c>
      <c r="BF18">
        <f>Inputs!H34</f>
        <v>1</v>
      </c>
      <c r="BG18" t="s">
        <v>617</v>
      </c>
      <c r="BH18">
        <f>Inputs!I34</f>
        <v>1</v>
      </c>
      <c r="BI18" t="s">
        <v>677</v>
      </c>
      <c r="BJ18">
        <f>Inputs!D36</f>
        <v>0.05</v>
      </c>
      <c r="BK18" t="s">
        <v>648</v>
      </c>
      <c r="BL18">
        <f>Inputs!E36</f>
        <v>0.05</v>
      </c>
    </row>
    <row r="19" spans="1:64" ht="12.75" customHeight="1" x14ac:dyDescent="0.2">
      <c r="A19" t="s">
        <v>852</v>
      </c>
      <c r="B19">
        <f>Inputs!F36</f>
        <v>0.05</v>
      </c>
      <c r="C19" t="s">
        <v>486</v>
      </c>
      <c r="D19">
        <f>Inputs!G36</f>
        <v>0.05</v>
      </c>
      <c r="E19" t="s">
        <v>686</v>
      </c>
      <c r="F19">
        <f>Inputs!H36</f>
        <v>0.05</v>
      </c>
      <c r="G19" t="s">
        <v>644</v>
      </c>
      <c r="H19">
        <f>Inputs!I36</f>
        <v>0.05</v>
      </c>
      <c r="I19" t="s">
        <v>713</v>
      </c>
      <c r="J19">
        <f>Inputs!D37</f>
        <v>0.05</v>
      </c>
      <c r="K19" t="s">
        <v>731</v>
      </c>
      <c r="L19">
        <f>Inputs!E37</f>
        <v>0.05</v>
      </c>
      <c r="M19" t="s">
        <v>344</v>
      </c>
      <c r="N19">
        <f>Inputs!F37</f>
        <v>0.05</v>
      </c>
      <c r="O19" t="s">
        <v>490</v>
      </c>
      <c r="P19">
        <f>Inputs!G37</f>
        <v>0.05</v>
      </c>
      <c r="Q19" t="s">
        <v>217</v>
      </c>
      <c r="R19">
        <f>Inputs!H37</f>
        <v>0.05</v>
      </c>
      <c r="S19" t="s">
        <v>723</v>
      </c>
      <c r="T19">
        <f>Inputs!I37</f>
        <v>0.05</v>
      </c>
      <c r="U19" t="s">
        <v>662</v>
      </c>
      <c r="V19">
        <f>Inputs!D38</f>
        <v>0.05</v>
      </c>
      <c r="W19" t="s">
        <v>1117</v>
      </c>
      <c r="X19">
        <f>Inputs!E38</f>
        <v>0.05</v>
      </c>
      <c r="Y19" t="s">
        <v>1153</v>
      </c>
      <c r="Z19">
        <f>Inputs!F38</f>
        <v>0.05</v>
      </c>
      <c r="AA19" t="s">
        <v>714</v>
      </c>
      <c r="AB19">
        <f>Inputs!G38</f>
        <v>0.05</v>
      </c>
      <c r="AC19" t="s">
        <v>1830</v>
      </c>
      <c r="AD19">
        <f>Inputs!H38</f>
        <v>0.05</v>
      </c>
      <c r="AE19" t="s">
        <v>1476</v>
      </c>
      <c r="AF19">
        <f>Inputs!I38</f>
        <v>0.05</v>
      </c>
      <c r="AG19" t="s">
        <v>468</v>
      </c>
      <c r="AH19">
        <f>Inputs!D39</f>
        <v>0.05</v>
      </c>
      <c r="AI19" t="s">
        <v>159</v>
      </c>
      <c r="AJ19">
        <f>Inputs!E39</f>
        <v>0.05</v>
      </c>
      <c r="AK19" t="s">
        <v>1168</v>
      </c>
      <c r="AL19">
        <f>Inputs!F39</f>
        <v>0.05</v>
      </c>
      <c r="AM19" t="s">
        <v>1208</v>
      </c>
      <c r="AN19">
        <f>Inputs!G39</f>
        <v>0.05</v>
      </c>
      <c r="AO19" t="s">
        <v>1591</v>
      </c>
      <c r="AP19">
        <f>Inputs!H39</f>
        <v>0.05</v>
      </c>
      <c r="AQ19" t="s">
        <v>780</v>
      </c>
      <c r="AR19">
        <f>Inputs!I39</f>
        <v>0.05</v>
      </c>
      <c r="AS19" t="s">
        <v>149</v>
      </c>
      <c r="AT19">
        <f>Inputs!E51</f>
        <v>1</v>
      </c>
      <c r="AU19" t="s">
        <v>545</v>
      </c>
      <c r="AV19">
        <f>Inputs!F51</f>
        <v>1</v>
      </c>
      <c r="AW19" t="s">
        <v>1341</v>
      </c>
      <c r="AX19">
        <f>Inputs!G51</f>
        <v>1</v>
      </c>
      <c r="AY19" t="s">
        <v>580</v>
      </c>
      <c r="AZ19">
        <f>Inputs!H51</f>
        <v>1</v>
      </c>
      <c r="BA19" t="s">
        <v>620</v>
      </c>
      <c r="BB19">
        <f>Inputs!I51</f>
        <v>1</v>
      </c>
      <c r="BC19" t="s">
        <v>1384</v>
      </c>
      <c r="BD19">
        <f>Inputs!J51</f>
        <v>1</v>
      </c>
      <c r="BE19" t="s">
        <v>135</v>
      </c>
      <c r="BF19">
        <f>Inputs!E52</f>
        <v>1</v>
      </c>
      <c r="BG19" t="s">
        <v>241</v>
      </c>
      <c r="BH19">
        <f>Inputs!F52</f>
        <v>1</v>
      </c>
      <c r="BI19" t="s">
        <v>767</v>
      </c>
      <c r="BJ19">
        <f>Inputs!G52</f>
        <v>1</v>
      </c>
      <c r="BK19" t="s">
        <v>1734</v>
      </c>
      <c r="BL19">
        <f>Inputs!H52</f>
        <v>1</v>
      </c>
    </row>
    <row r="20" spans="1:64" ht="12.75" customHeight="1" x14ac:dyDescent="0.2">
      <c r="A20" t="s">
        <v>1109</v>
      </c>
      <c r="B20">
        <f>Inputs!I52</f>
        <v>1</v>
      </c>
      <c r="C20" t="s">
        <v>1055</v>
      </c>
      <c r="D20">
        <f>Inputs!J52</f>
        <v>1</v>
      </c>
      <c r="E20" t="s">
        <v>225</v>
      </c>
      <c r="F20">
        <f>Inputs!D54</f>
        <v>0</v>
      </c>
      <c r="G20" t="s">
        <v>818</v>
      </c>
      <c r="H20">
        <f>Inputs!E54</f>
        <v>0</v>
      </c>
      <c r="I20" t="s">
        <v>789</v>
      </c>
      <c r="J20">
        <f>Inputs!F54</f>
        <v>0</v>
      </c>
      <c r="K20" t="s">
        <v>255</v>
      </c>
      <c r="L20">
        <f>Inputs!G54</f>
        <v>0</v>
      </c>
      <c r="M20" t="s">
        <v>199</v>
      </c>
      <c r="N20">
        <f>Inputs!H54</f>
        <v>0</v>
      </c>
      <c r="O20" t="s">
        <v>1159</v>
      </c>
      <c r="P20">
        <f>Inputs!I54</f>
        <v>0</v>
      </c>
      <c r="Q20" t="s">
        <v>779</v>
      </c>
      <c r="R20">
        <f>Inputs!J54</f>
        <v>0</v>
      </c>
      <c r="S20" t="s">
        <v>598</v>
      </c>
      <c r="T20">
        <f>Inputs!D63</f>
        <v>0</v>
      </c>
      <c r="U20" t="s">
        <v>62</v>
      </c>
      <c r="V20">
        <f>Inputs!E63</f>
        <v>0</v>
      </c>
      <c r="W20" t="s">
        <v>366</v>
      </c>
      <c r="X20">
        <f>Inputs!F63</f>
        <v>0</v>
      </c>
      <c r="Y20" t="s">
        <v>1517</v>
      </c>
      <c r="Z20">
        <f>Inputs!G63</f>
        <v>0</v>
      </c>
      <c r="AA20" t="s">
        <v>1783</v>
      </c>
      <c r="AB20">
        <f>Inputs!H63</f>
        <v>0</v>
      </c>
      <c r="AC20" t="s">
        <v>741</v>
      </c>
      <c r="AD20">
        <f>Inputs!I63</f>
        <v>0</v>
      </c>
      <c r="AE20" t="s">
        <v>1735</v>
      </c>
      <c r="AF20">
        <f>Inputs!D64</f>
        <v>0</v>
      </c>
      <c r="AG20" t="s">
        <v>1405</v>
      </c>
      <c r="AH20">
        <f>Inputs!E64</f>
        <v>0</v>
      </c>
      <c r="AI20" t="s">
        <v>902</v>
      </c>
      <c r="AJ20">
        <f>Inputs!F64</f>
        <v>0</v>
      </c>
      <c r="AK20" t="s">
        <v>1065</v>
      </c>
      <c r="AL20">
        <f>Inputs!G64</f>
        <v>0</v>
      </c>
      <c r="AM20" t="s">
        <v>541</v>
      </c>
      <c r="AN20">
        <f>Inputs!H64</f>
        <v>0</v>
      </c>
      <c r="AO20" t="s">
        <v>1713</v>
      </c>
      <c r="AP20">
        <f>Inputs!I64</f>
        <v>0</v>
      </c>
      <c r="AQ20" t="s">
        <v>691</v>
      </c>
      <c r="AR20">
        <f>Inputs!D73</f>
        <v>0</v>
      </c>
      <c r="AS20" t="s">
        <v>1543</v>
      </c>
      <c r="AT20">
        <f>Inputs!E73</f>
        <v>0</v>
      </c>
      <c r="AU20" t="s">
        <v>813</v>
      </c>
      <c r="AV20">
        <f>Inputs!F73</f>
        <v>0</v>
      </c>
      <c r="AW20" t="s">
        <v>1275</v>
      </c>
      <c r="AX20">
        <f>Inputs!G73</f>
        <v>0</v>
      </c>
      <c r="AY20" t="s">
        <v>130</v>
      </c>
      <c r="AZ20">
        <f>Inputs!H73</f>
        <v>0</v>
      </c>
      <c r="BA20" t="s">
        <v>1772</v>
      </c>
      <c r="BB20">
        <f>Inputs!I73</f>
        <v>0</v>
      </c>
      <c r="BC20" t="s">
        <v>435</v>
      </c>
      <c r="BD20">
        <f>Inputs!D74</f>
        <v>0</v>
      </c>
      <c r="BE20" t="s">
        <v>244</v>
      </c>
      <c r="BF20">
        <f>Inputs!E74</f>
        <v>0</v>
      </c>
      <c r="BG20" t="s">
        <v>496</v>
      </c>
      <c r="BH20">
        <f>Inputs!F74</f>
        <v>0</v>
      </c>
      <c r="BI20" t="s">
        <v>1627</v>
      </c>
      <c r="BJ20">
        <f>Inputs!G74</f>
        <v>0</v>
      </c>
      <c r="BK20" t="s">
        <v>151</v>
      </c>
      <c r="BL20">
        <f>Inputs!H74</f>
        <v>0</v>
      </c>
    </row>
    <row r="21" spans="1:64" ht="12.75" customHeight="1" x14ac:dyDescent="0.2">
      <c r="A21" t="s">
        <v>956</v>
      </c>
      <c r="B21">
        <f>Inputs!I74</f>
        <v>0</v>
      </c>
      <c r="C21" t="s">
        <v>245</v>
      </c>
      <c r="D21">
        <f>Inputs!D75</f>
        <v>0</v>
      </c>
      <c r="E21" t="s">
        <v>1278</v>
      </c>
      <c r="F21">
        <f>Inputs!E75</f>
        <v>0</v>
      </c>
      <c r="G21" t="s">
        <v>1536</v>
      </c>
      <c r="H21">
        <f>Inputs!F75</f>
        <v>0</v>
      </c>
      <c r="I21" t="s">
        <v>66</v>
      </c>
      <c r="J21">
        <f>Inputs!G75</f>
        <v>0</v>
      </c>
      <c r="K21" t="s">
        <v>728</v>
      </c>
      <c r="L21">
        <f>Inputs!H75</f>
        <v>0</v>
      </c>
      <c r="M21" t="s">
        <v>1682</v>
      </c>
      <c r="N21">
        <f>Inputs!I75</f>
        <v>0</v>
      </c>
      <c r="O21" t="s">
        <v>1415</v>
      </c>
      <c r="P21">
        <f>Inputs!D76</f>
        <v>0</v>
      </c>
      <c r="Q21" t="s">
        <v>43</v>
      </c>
      <c r="R21">
        <f>Inputs!E76</f>
        <v>0</v>
      </c>
      <c r="S21" t="s">
        <v>425</v>
      </c>
      <c r="T21">
        <f>Inputs!F76</f>
        <v>0</v>
      </c>
      <c r="U21" t="s">
        <v>988</v>
      </c>
      <c r="V21">
        <f>Inputs!G76</f>
        <v>0</v>
      </c>
      <c r="W21" t="s">
        <v>1812</v>
      </c>
      <c r="X21">
        <f>Inputs!H76</f>
        <v>0</v>
      </c>
      <c r="Y21" t="s">
        <v>152</v>
      </c>
      <c r="Z21">
        <f>Inputs!I76</f>
        <v>0</v>
      </c>
      <c r="AA21" t="s">
        <v>544</v>
      </c>
      <c r="AB21">
        <f>Inputs!D81</f>
        <v>80000</v>
      </c>
      <c r="AC21" t="s">
        <v>354</v>
      </c>
      <c r="AD21">
        <f>Inputs!E81</f>
        <v>80000</v>
      </c>
      <c r="AE21" t="s">
        <v>1566</v>
      </c>
      <c r="AF21">
        <f>Inputs!D82</f>
        <v>80000</v>
      </c>
      <c r="AG21" t="s">
        <v>1440</v>
      </c>
      <c r="AH21">
        <f>Inputs!E82</f>
        <v>80000</v>
      </c>
      <c r="AI21" t="s">
        <v>451</v>
      </c>
      <c r="AJ21">
        <f>Inputs!D85</f>
        <v>0</v>
      </c>
      <c r="AK21" t="s">
        <v>1114</v>
      </c>
      <c r="AL21">
        <f>Inputs!E85</f>
        <v>0</v>
      </c>
      <c r="AM21" t="s">
        <v>1432</v>
      </c>
      <c r="AN21">
        <f>Inputs!F85</f>
        <v>0</v>
      </c>
      <c r="AO21" t="s">
        <v>319</v>
      </c>
      <c r="AP21">
        <f>Inputs!G85</f>
        <v>0</v>
      </c>
      <c r="AQ21" t="s">
        <v>608</v>
      </c>
      <c r="AR21">
        <f>Inputs!H85</f>
        <v>0</v>
      </c>
      <c r="AS21" t="s">
        <v>696</v>
      </c>
      <c r="AT21">
        <f>Inputs!I85</f>
        <v>0</v>
      </c>
      <c r="AU21" t="s">
        <v>559</v>
      </c>
      <c r="AV21" t="b">
        <f>Inputs!D86</f>
        <v>1</v>
      </c>
      <c r="AW21" t="s">
        <v>386</v>
      </c>
      <c r="AX21">
        <f>Inputs!D89</f>
        <v>0</v>
      </c>
      <c r="AY21" t="s">
        <v>829</v>
      </c>
      <c r="AZ21">
        <f>Inputs!E89</f>
        <v>0</v>
      </c>
      <c r="BA21" t="s">
        <v>1255</v>
      </c>
      <c r="BB21">
        <f>Inputs!F89</f>
        <v>0</v>
      </c>
      <c r="BC21" t="s">
        <v>254</v>
      </c>
      <c r="BD21">
        <f>Inputs!G89</f>
        <v>0</v>
      </c>
      <c r="BE21" t="s">
        <v>1603</v>
      </c>
      <c r="BF21">
        <f>Inputs!H89</f>
        <v>0</v>
      </c>
      <c r="BG21" t="s">
        <v>674</v>
      </c>
      <c r="BH21">
        <f>Inputs!I89</f>
        <v>0</v>
      </c>
      <c r="BI21" t="s">
        <v>299</v>
      </c>
      <c r="BJ21">
        <f>Inputs!D90</f>
        <v>0</v>
      </c>
      <c r="BK21" t="s">
        <v>378</v>
      </c>
      <c r="BL21">
        <f>Inputs!E90</f>
        <v>0</v>
      </c>
    </row>
    <row r="22" spans="1:64" ht="12.75" customHeight="1" x14ac:dyDescent="0.2">
      <c r="A22" t="s">
        <v>1646</v>
      </c>
      <c r="B22">
        <f>Inputs!F90</f>
        <v>0</v>
      </c>
      <c r="C22" t="s">
        <v>1190</v>
      </c>
      <c r="D22">
        <f>Inputs!G90</f>
        <v>0</v>
      </c>
      <c r="E22" t="s">
        <v>1280</v>
      </c>
      <c r="F22">
        <f>Inputs!H90</f>
        <v>0</v>
      </c>
      <c r="G22" t="s">
        <v>1400</v>
      </c>
      <c r="H22">
        <f>Inputs!I90</f>
        <v>0</v>
      </c>
      <c r="I22" t="s">
        <v>6</v>
      </c>
      <c r="J22">
        <f>Inputs!D91</f>
        <v>0</v>
      </c>
      <c r="K22" t="s">
        <v>909</v>
      </c>
      <c r="L22">
        <f>Inputs!E91</f>
        <v>0</v>
      </c>
      <c r="M22" t="s">
        <v>1316</v>
      </c>
      <c r="N22">
        <f>Inputs!F91</f>
        <v>0</v>
      </c>
      <c r="O22" t="s">
        <v>426</v>
      </c>
      <c r="P22">
        <f>Inputs!G91</f>
        <v>0</v>
      </c>
      <c r="Q22" t="s">
        <v>442</v>
      </c>
      <c r="R22">
        <f>Inputs!H91</f>
        <v>0</v>
      </c>
      <c r="S22" t="s">
        <v>722</v>
      </c>
      <c r="T22">
        <f>Inputs!I91</f>
        <v>0</v>
      </c>
      <c r="U22" t="s">
        <v>123</v>
      </c>
      <c r="V22">
        <f>Inputs!D92</f>
        <v>0</v>
      </c>
      <c r="W22" t="s">
        <v>919</v>
      </c>
      <c r="X22">
        <f>Inputs!E92</f>
        <v>0</v>
      </c>
      <c r="Y22" t="s">
        <v>65</v>
      </c>
      <c r="Z22">
        <f>Inputs!F92</f>
        <v>0</v>
      </c>
      <c r="AA22" t="s">
        <v>1525</v>
      </c>
      <c r="AB22">
        <f>Inputs!G92</f>
        <v>0</v>
      </c>
      <c r="AC22" t="s">
        <v>949</v>
      </c>
      <c r="AD22">
        <f>Inputs!H92</f>
        <v>0</v>
      </c>
      <c r="AE22" t="s">
        <v>735</v>
      </c>
      <c r="AF22">
        <f>Inputs!I92</f>
        <v>0</v>
      </c>
      <c r="AG22" t="s">
        <v>1127</v>
      </c>
      <c r="AH22">
        <f>Inputs!D94</f>
        <v>0</v>
      </c>
      <c r="AI22" t="s">
        <v>922</v>
      </c>
      <c r="AJ22">
        <f>Inputs!E94</f>
        <v>0</v>
      </c>
      <c r="AK22" t="s">
        <v>1724</v>
      </c>
      <c r="AL22">
        <f>Inputs!F94</f>
        <v>0</v>
      </c>
      <c r="AM22" t="s">
        <v>629</v>
      </c>
      <c r="AN22">
        <f>Inputs!G94</f>
        <v>0</v>
      </c>
      <c r="AO22" t="s">
        <v>699</v>
      </c>
      <c r="AP22">
        <f>Inputs!H94</f>
        <v>0</v>
      </c>
      <c r="AQ22" t="s">
        <v>276</v>
      </c>
      <c r="AR22">
        <f>Inputs!I94</f>
        <v>0</v>
      </c>
      <c r="AS22" t="s">
        <v>506</v>
      </c>
      <c r="AT22">
        <f>Inputs!D95</f>
        <v>1</v>
      </c>
      <c r="AU22" t="s">
        <v>207</v>
      </c>
      <c r="AV22">
        <f>Inputs!E95</f>
        <v>1</v>
      </c>
      <c r="AW22" t="s">
        <v>157</v>
      </c>
      <c r="AX22">
        <f>Inputs!F95</f>
        <v>1</v>
      </c>
      <c r="AY22" t="s">
        <v>1518</v>
      </c>
      <c r="AZ22">
        <f>Inputs!G95</f>
        <v>1</v>
      </c>
      <c r="BA22" t="s">
        <v>46</v>
      </c>
      <c r="BB22">
        <f>Inputs!H95</f>
        <v>1</v>
      </c>
      <c r="BC22" t="s">
        <v>343</v>
      </c>
      <c r="BD22">
        <f>Inputs!I95</f>
        <v>1</v>
      </c>
      <c r="BE22" t="s">
        <v>1407</v>
      </c>
      <c r="BF22">
        <f>Inputs!D97</f>
        <v>0.15</v>
      </c>
      <c r="BG22" t="s">
        <v>1045</v>
      </c>
      <c r="BH22">
        <f>Inputs!E97</f>
        <v>0.15</v>
      </c>
      <c r="BI22" t="s">
        <v>1560</v>
      </c>
      <c r="BJ22">
        <f>Inputs!F97</f>
        <v>0.15</v>
      </c>
      <c r="BK22" t="s">
        <v>1406</v>
      </c>
      <c r="BL22">
        <f>Inputs!G97</f>
        <v>0.15</v>
      </c>
    </row>
    <row r="23" spans="1:64" ht="12.75" customHeight="1" x14ac:dyDescent="0.2">
      <c r="A23" t="s">
        <v>372</v>
      </c>
      <c r="B23">
        <f>Inputs!H97</f>
        <v>0.15</v>
      </c>
      <c r="C23" t="s">
        <v>1039</v>
      </c>
      <c r="D23">
        <f>Inputs!I97</f>
        <v>0.15</v>
      </c>
      <c r="E23" t="s">
        <v>516</v>
      </c>
      <c r="F23">
        <f>Inputs!D98</f>
        <v>0.1</v>
      </c>
      <c r="G23" t="s">
        <v>1239</v>
      </c>
      <c r="H23">
        <f>Inputs!E98</f>
        <v>0.1</v>
      </c>
      <c r="I23" t="s">
        <v>1331</v>
      </c>
      <c r="J23">
        <f>Inputs!F98</f>
        <v>0.1</v>
      </c>
      <c r="K23" t="s">
        <v>59</v>
      </c>
      <c r="L23">
        <f>Inputs!G98</f>
        <v>0.1</v>
      </c>
      <c r="M23" t="s">
        <v>960</v>
      </c>
      <c r="N23">
        <f>Inputs!H98</f>
        <v>0.1</v>
      </c>
      <c r="O23" t="s">
        <v>1578</v>
      </c>
      <c r="P23">
        <f>Inputs!I98</f>
        <v>0.1</v>
      </c>
      <c r="Q23" t="s">
        <v>280</v>
      </c>
      <c r="R23">
        <f>Inputs!D108</f>
        <v>0</v>
      </c>
      <c r="S23" t="s">
        <v>655</v>
      </c>
      <c r="T23">
        <f>Inputs!E108</f>
        <v>0</v>
      </c>
      <c r="U23" t="s">
        <v>781</v>
      </c>
      <c r="V23">
        <f>Inputs!F108</f>
        <v>0</v>
      </c>
      <c r="W23" t="s">
        <v>891</v>
      </c>
      <c r="X23">
        <f>Inputs!G108</f>
        <v>0</v>
      </c>
      <c r="Y23" t="s">
        <v>568</v>
      </c>
      <c r="Z23">
        <f>Inputs!H108</f>
        <v>0</v>
      </c>
      <c r="AA23" t="s">
        <v>1330</v>
      </c>
      <c r="AB23">
        <f>Inputs!I108</f>
        <v>0</v>
      </c>
      <c r="AC23" t="s">
        <v>1557</v>
      </c>
      <c r="AD23">
        <f>Inputs!D109</f>
        <v>0</v>
      </c>
      <c r="AE23" t="s">
        <v>51</v>
      </c>
      <c r="AF23">
        <f>Inputs!E109</f>
        <v>0</v>
      </c>
      <c r="AG23" t="s">
        <v>1706</v>
      </c>
      <c r="AH23">
        <f>Inputs!F109</f>
        <v>0</v>
      </c>
      <c r="AI23" t="s">
        <v>738</v>
      </c>
      <c r="AJ23">
        <f>Inputs!G109</f>
        <v>0</v>
      </c>
      <c r="AK23" t="s">
        <v>492</v>
      </c>
      <c r="AL23">
        <f>Inputs!H109</f>
        <v>0</v>
      </c>
      <c r="AM23" t="s">
        <v>907</v>
      </c>
      <c r="AN23">
        <f>Inputs!I109</f>
        <v>0</v>
      </c>
      <c r="AO23" t="s">
        <v>605</v>
      </c>
      <c r="AP23">
        <f>Inputs!D110</f>
        <v>0</v>
      </c>
      <c r="AQ23" t="s">
        <v>381</v>
      </c>
      <c r="AR23">
        <f>Inputs!E110</f>
        <v>0</v>
      </c>
      <c r="AS23" t="s">
        <v>1751</v>
      </c>
      <c r="AT23">
        <f>Inputs!F110</f>
        <v>0</v>
      </c>
      <c r="AU23" t="s">
        <v>1659</v>
      </c>
      <c r="AV23">
        <f>Inputs!G110</f>
        <v>0</v>
      </c>
      <c r="AW23" t="s">
        <v>1182</v>
      </c>
      <c r="AX23">
        <f>Inputs!H110</f>
        <v>0</v>
      </c>
      <c r="AY23" t="s">
        <v>889</v>
      </c>
      <c r="AZ23">
        <f>Inputs!I110</f>
        <v>0</v>
      </c>
      <c r="BA23" t="s">
        <v>360</v>
      </c>
      <c r="BB23">
        <f>Inputs!D111</f>
        <v>0</v>
      </c>
      <c r="BC23" t="s">
        <v>1144</v>
      </c>
      <c r="BD23">
        <f>Inputs!E111</f>
        <v>0</v>
      </c>
      <c r="BE23" t="s">
        <v>1129</v>
      </c>
      <c r="BF23">
        <f>Inputs!F111</f>
        <v>0</v>
      </c>
      <c r="BG23" t="s">
        <v>1709</v>
      </c>
      <c r="BH23">
        <f>Inputs!G111</f>
        <v>0</v>
      </c>
      <c r="BI23" t="s">
        <v>1698</v>
      </c>
      <c r="BJ23">
        <f>Inputs!H111</f>
        <v>0</v>
      </c>
      <c r="BK23" t="s">
        <v>122</v>
      </c>
      <c r="BL23">
        <f>Inputs!I111</f>
        <v>0</v>
      </c>
    </row>
    <row r="24" spans="1:64" ht="12.75" customHeight="1" x14ac:dyDescent="0.2">
      <c r="A24" t="s">
        <v>876</v>
      </c>
      <c r="B24">
        <f>Inputs!D112</f>
        <v>0</v>
      </c>
      <c r="C24" t="s">
        <v>1012</v>
      </c>
      <c r="D24">
        <f>Inputs!E112</f>
        <v>0</v>
      </c>
      <c r="E24" t="s">
        <v>870</v>
      </c>
      <c r="F24">
        <f>Inputs!F112</f>
        <v>0</v>
      </c>
      <c r="G24" t="s">
        <v>647</v>
      </c>
      <c r="H24">
        <f>Inputs!G112</f>
        <v>0</v>
      </c>
      <c r="I24" t="s">
        <v>467</v>
      </c>
      <c r="J24">
        <f>Inputs!H112</f>
        <v>0</v>
      </c>
      <c r="K24" t="s">
        <v>131</v>
      </c>
      <c r="L24">
        <f>Inputs!I112</f>
        <v>0</v>
      </c>
      <c r="M24" t="s">
        <v>374</v>
      </c>
      <c r="N24">
        <f>Inputs!D117</f>
        <v>0</v>
      </c>
      <c r="O24" t="s">
        <v>102</v>
      </c>
      <c r="P24">
        <f>Inputs!E117</f>
        <v>0</v>
      </c>
      <c r="Q24" t="s">
        <v>1284</v>
      </c>
      <c r="R24">
        <f>Inputs!F117</f>
        <v>0</v>
      </c>
      <c r="S24" t="s">
        <v>393</v>
      </c>
      <c r="T24">
        <f>Inputs!G117</f>
        <v>0</v>
      </c>
      <c r="U24" t="s">
        <v>222</v>
      </c>
      <c r="V24">
        <f>Inputs!H117</f>
        <v>0</v>
      </c>
      <c r="W24" t="s">
        <v>1058</v>
      </c>
      <c r="X24">
        <f>Inputs!I117</f>
        <v>0</v>
      </c>
      <c r="Y24" t="s">
        <v>970</v>
      </c>
      <c r="Z24">
        <f>Inputs!D118</f>
        <v>0</v>
      </c>
      <c r="AA24" t="s">
        <v>504</v>
      </c>
      <c r="AB24">
        <f>Inputs!E118</f>
        <v>0</v>
      </c>
      <c r="AC24" t="s">
        <v>733</v>
      </c>
      <c r="AD24">
        <f>Inputs!F118</f>
        <v>0</v>
      </c>
      <c r="AE24" t="s">
        <v>1596</v>
      </c>
      <c r="AF24">
        <f>Inputs!G118</f>
        <v>0</v>
      </c>
      <c r="AG24" t="s">
        <v>377</v>
      </c>
      <c r="AH24">
        <f>Inputs!H118</f>
        <v>0</v>
      </c>
      <c r="AI24" t="s">
        <v>1495</v>
      </c>
      <c r="AJ24">
        <f>Inputs!I118</f>
        <v>0</v>
      </c>
      <c r="AK24" t="s">
        <v>844</v>
      </c>
      <c r="AL24">
        <f>Inputs!D123</f>
        <v>0</v>
      </c>
      <c r="AM24" t="s">
        <v>1315</v>
      </c>
      <c r="AN24">
        <f>Inputs!E123</f>
        <v>0</v>
      </c>
      <c r="AO24" t="s">
        <v>1376</v>
      </c>
      <c r="AP24">
        <f>Inputs!F123</f>
        <v>0</v>
      </c>
      <c r="AQ24" t="s">
        <v>1317</v>
      </c>
      <c r="AR24">
        <f>Inputs!G123</f>
        <v>0</v>
      </c>
      <c r="AS24" t="s">
        <v>1539</v>
      </c>
      <c r="AT24">
        <f>Inputs!H123</f>
        <v>0</v>
      </c>
      <c r="AU24" t="s">
        <v>522</v>
      </c>
      <c r="AV24">
        <f>Inputs!I123</f>
        <v>0</v>
      </c>
      <c r="AW24" t="s">
        <v>423</v>
      </c>
      <c r="AX24">
        <f>Inputs!D124</f>
        <v>0</v>
      </c>
      <c r="AY24" t="s">
        <v>1447</v>
      </c>
      <c r="AZ24">
        <f>Inputs!E124</f>
        <v>0</v>
      </c>
      <c r="BA24" t="s">
        <v>1606</v>
      </c>
      <c r="BB24">
        <f>Inputs!F124</f>
        <v>0</v>
      </c>
      <c r="BC24" t="s">
        <v>1128</v>
      </c>
      <c r="BD24">
        <f>Inputs!G124</f>
        <v>0</v>
      </c>
      <c r="BE24" t="s">
        <v>1166</v>
      </c>
      <c r="BF24">
        <f>Inputs!H124</f>
        <v>0</v>
      </c>
      <c r="BG24" t="s">
        <v>1547</v>
      </c>
      <c r="BH24">
        <f>Inputs!I124</f>
        <v>0</v>
      </c>
      <c r="BI24" t="s">
        <v>138</v>
      </c>
      <c r="BJ24">
        <f>Inputs!D125</f>
        <v>0</v>
      </c>
      <c r="BK24" t="s">
        <v>1697</v>
      </c>
      <c r="BL24">
        <f>Inputs!E125</f>
        <v>0</v>
      </c>
    </row>
    <row r="25" spans="1:64" ht="12.75" customHeight="1" x14ac:dyDescent="0.2">
      <c r="A25" t="s">
        <v>194</v>
      </c>
      <c r="B25">
        <f>Inputs!F125</f>
        <v>0</v>
      </c>
      <c r="C25" t="s">
        <v>859</v>
      </c>
      <c r="D25">
        <f>Inputs!G125</f>
        <v>0</v>
      </c>
      <c r="E25" t="s">
        <v>1499</v>
      </c>
      <c r="F25">
        <f>Inputs!H125</f>
        <v>0</v>
      </c>
      <c r="G25" t="s">
        <v>589</v>
      </c>
      <c r="H25">
        <f>Inputs!I125</f>
        <v>0</v>
      </c>
      <c r="I25" t="s">
        <v>1160</v>
      </c>
      <c r="J25">
        <f>Inputs!D126</f>
        <v>0</v>
      </c>
      <c r="K25" t="s">
        <v>380</v>
      </c>
      <c r="L25">
        <f>Inputs!E126</f>
        <v>0</v>
      </c>
      <c r="M25" t="s">
        <v>1748</v>
      </c>
      <c r="N25">
        <f>Inputs!F126</f>
        <v>0</v>
      </c>
      <c r="O25" t="s">
        <v>1158</v>
      </c>
      <c r="P25">
        <f>Inputs!G126</f>
        <v>0</v>
      </c>
      <c r="Q25" t="s">
        <v>1088</v>
      </c>
      <c r="R25">
        <f>Inputs!H126</f>
        <v>0</v>
      </c>
      <c r="S25" t="s">
        <v>654</v>
      </c>
      <c r="T25">
        <f>Inputs!I126</f>
        <v>0</v>
      </c>
      <c r="U25" t="s">
        <v>250</v>
      </c>
      <c r="V25">
        <f>Inputs!D127</f>
        <v>0</v>
      </c>
      <c r="W25" t="s">
        <v>196</v>
      </c>
      <c r="X25">
        <f>Inputs!E127</f>
        <v>0</v>
      </c>
      <c r="Y25" t="s">
        <v>1686</v>
      </c>
      <c r="Z25">
        <f>Inputs!F127</f>
        <v>0</v>
      </c>
      <c r="AA25" t="s">
        <v>1303</v>
      </c>
      <c r="AB25">
        <f>Inputs!G127</f>
        <v>0</v>
      </c>
      <c r="AC25" t="s">
        <v>1100</v>
      </c>
      <c r="AD25">
        <f>Inputs!H127</f>
        <v>0</v>
      </c>
      <c r="AE25" t="s">
        <v>495</v>
      </c>
      <c r="AF25">
        <f>Inputs!I127</f>
        <v>0</v>
      </c>
      <c r="AG25" t="s">
        <v>400</v>
      </c>
      <c r="AH25">
        <f>Inputs!D128</f>
        <v>0</v>
      </c>
      <c r="AI25" t="s">
        <v>873</v>
      </c>
      <c r="AJ25">
        <f>Inputs!E128</f>
        <v>0</v>
      </c>
      <c r="AK25" t="s">
        <v>142</v>
      </c>
      <c r="AL25">
        <f>Inputs!F128</f>
        <v>0</v>
      </c>
      <c r="AM25" t="s">
        <v>1452</v>
      </c>
      <c r="AN25">
        <f>Inputs!G128</f>
        <v>0</v>
      </c>
      <c r="AO25" t="s">
        <v>429</v>
      </c>
      <c r="AP25">
        <f>Inputs!H128</f>
        <v>0</v>
      </c>
      <c r="AQ25" t="s">
        <v>698</v>
      </c>
      <c r="AR25">
        <f>Inputs!I128</f>
        <v>0</v>
      </c>
      <c r="AS25" t="s">
        <v>228</v>
      </c>
      <c r="AT25">
        <f>Inputs!D137</f>
        <v>0</v>
      </c>
      <c r="AU25" t="s">
        <v>1276</v>
      </c>
      <c r="AV25">
        <f>Inputs!E137</f>
        <v>0</v>
      </c>
      <c r="AW25" t="s">
        <v>1228</v>
      </c>
      <c r="AX25">
        <f>Inputs!F137</f>
        <v>0</v>
      </c>
      <c r="AY25" t="s">
        <v>281</v>
      </c>
      <c r="AZ25">
        <f>Inputs!G137</f>
        <v>0</v>
      </c>
      <c r="BA25" t="s">
        <v>996</v>
      </c>
      <c r="BB25">
        <f>Inputs!H137</f>
        <v>0</v>
      </c>
      <c r="BC25" t="s">
        <v>1372</v>
      </c>
      <c r="BD25">
        <f>Inputs!I137</f>
        <v>0</v>
      </c>
      <c r="BE25" t="s">
        <v>571</v>
      </c>
      <c r="BF25">
        <f>Inputs!D138</f>
        <v>0</v>
      </c>
      <c r="BG25" t="s">
        <v>483</v>
      </c>
      <c r="BH25">
        <f>Inputs!E138</f>
        <v>0</v>
      </c>
      <c r="BI25" t="s">
        <v>1345</v>
      </c>
      <c r="BJ25">
        <f>Inputs!F138</f>
        <v>0</v>
      </c>
      <c r="BK25" t="s">
        <v>1367</v>
      </c>
      <c r="BL25">
        <f>Inputs!G138</f>
        <v>0</v>
      </c>
    </row>
    <row r="26" spans="1:64" ht="12.75" customHeight="1" x14ac:dyDescent="0.2">
      <c r="A26" t="s">
        <v>55</v>
      </c>
      <c r="B26">
        <f>Inputs!H138</f>
        <v>0</v>
      </c>
      <c r="C26" t="s">
        <v>980</v>
      </c>
      <c r="D26">
        <f>Inputs!I138</f>
        <v>0</v>
      </c>
      <c r="E26" t="s">
        <v>621</v>
      </c>
      <c r="F26">
        <f>Inputs!D139</f>
        <v>0</v>
      </c>
      <c r="G26" t="s">
        <v>623</v>
      </c>
      <c r="H26">
        <f>Inputs!E139</f>
        <v>0</v>
      </c>
      <c r="I26" t="s">
        <v>613</v>
      </c>
      <c r="J26">
        <f>Inputs!F139</f>
        <v>0</v>
      </c>
      <c r="K26" t="s">
        <v>837</v>
      </c>
      <c r="L26">
        <f>Inputs!G139</f>
        <v>0</v>
      </c>
      <c r="M26" t="s">
        <v>826</v>
      </c>
      <c r="N26">
        <f>Inputs!H139</f>
        <v>0</v>
      </c>
      <c r="O26" t="s">
        <v>1032</v>
      </c>
      <c r="P26">
        <f>Inputs!I139</f>
        <v>0</v>
      </c>
      <c r="Q26" t="s">
        <v>75</v>
      </c>
      <c r="R26">
        <f>Inputs!D140</f>
        <v>0</v>
      </c>
      <c r="S26" t="s">
        <v>197</v>
      </c>
      <c r="T26">
        <f>Inputs!E140</f>
        <v>0</v>
      </c>
      <c r="U26" t="s">
        <v>579</v>
      </c>
      <c r="V26">
        <f>Inputs!F140</f>
        <v>0</v>
      </c>
      <c r="W26" t="s">
        <v>1804</v>
      </c>
      <c r="X26">
        <f>Inputs!G140</f>
        <v>0</v>
      </c>
      <c r="Y26" t="s">
        <v>364</v>
      </c>
      <c r="Z26">
        <f>Inputs!H140</f>
        <v>0</v>
      </c>
      <c r="AA26" t="s">
        <v>1397</v>
      </c>
      <c r="AB26">
        <f>Inputs!I140</f>
        <v>0</v>
      </c>
      <c r="AC26" t="s">
        <v>1404</v>
      </c>
      <c r="AD26">
        <f>Inputs!D144</f>
        <v>0</v>
      </c>
      <c r="AE26" t="s">
        <v>1107</v>
      </c>
      <c r="AF26">
        <f>Inputs!E144</f>
        <v>0</v>
      </c>
      <c r="AG26" t="s">
        <v>1363</v>
      </c>
      <c r="AH26">
        <f>Inputs!F144</f>
        <v>0</v>
      </c>
      <c r="AI26" t="s">
        <v>903</v>
      </c>
      <c r="AJ26">
        <f>Inputs!G144</f>
        <v>0</v>
      </c>
      <c r="AK26" t="s">
        <v>1461</v>
      </c>
      <c r="AL26">
        <f>Inputs!H144</f>
        <v>0</v>
      </c>
      <c r="AM26" t="s">
        <v>1752</v>
      </c>
      <c r="AN26">
        <f>Inputs!I144</f>
        <v>0</v>
      </c>
      <c r="AO26" t="s">
        <v>1740</v>
      </c>
      <c r="AP26">
        <f>Inputs!D154</f>
        <v>0</v>
      </c>
      <c r="AQ26" t="s">
        <v>995</v>
      </c>
      <c r="AR26">
        <f>Inputs!D157</f>
        <v>30</v>
      </c>
      <c r="AS26" t="s">
        <v>104</v>
      </c>
      <c r="AT26">
        <f>Inputs!E157</f>
        <v>30</v>
      </c>
      <c r="AU26" t="s">
        <v>155</v>
      </c>
      <c r="AV26">
        <f>Inputs!F157</f>
        <v>30</v>
      </c>
      <c r="AW26" t="s">
        <v>1108</v>
      </c>
      <c r="AX26">
        <f>Inputs!G157</f>
        <v>30</v>
      </c>
      <c r="AY26" t="s">
        <v>1643</v>
      </c>
      <c r="AZ26">
        <f>Inputs!H157</f>
        <v>30</v>
      </c>
      <c r="BA26" t="s">
        <v>12</v>
      </c>
      <c r="BB26">
        <f>Inputs!I157</f>
        <v>30</v>
      </c>
      <c r="BC26" t="s">
        <v>1607</v>
      </c>
      <c r="BD26">
        <f>Inputs!D162</f>
        <v>0</v>
      </c>
      <c r="BE26" t="s">
        <v>886</v>
      </c>
      <c r="BF26">
        <f>Inputs!D165</f>
        <v>0</v>
      </c>
      <c r="BG26" t="s">
        <v>1009</v>
      </c>
      <c r="BH26">
        <f>Inputs!E165</f>
        <v>0</v>
      </c>
      <c r="BI26" t="s">
        <v>553</v>
      </c>
      <c r="BJ26">
        <f>Inputs!D166</f>
        <v>0</v>
      </c>
      <c r="BK26" t="s">
        <v>1776</v>
      </c>
      <c r="BL26">
        <f>Inputs!E166</f>
        <v>0</v>
      </c>
    </row>
    <row r="27" spans="1:64" ht="12.75" customHeight="1" x14ac:dyDescent="0.2">
      <c r="A27" t="s">
        <v>129</v>
      </c>
      <c r="B27">
        <f>Inputs!D169</f>
        <v>30</v>
      </c>
      <c r="C27" t="s">
        <v>1142</v>
      </c>
      <c r="D27">
        <f>Inputs!E169</f>
        <v>30</v>
      </c>
      <c r="E27" t="s">
        <v>888</v>
      </c>
      <c r="F27">
        <f>Inputs!F169</f>
        <v>30</v>
      </c>
      <c r="G27" t="s">
        <v>1426</v>
      </c>
      <c r="H27">
        <f>Inputs!G169</f>
        <v>30</v>
      </c>
      <c r="I27" t="s">
        <v>1347</v>
      </c>
      <c r="J27">
        <f>Inputs!H169</f>
        <v>30</v>
      </c>
      <c r="K27" t="s">
        <v>1732</v>
      </c>
      <c r="L27">
        <f>Inputs!I169</f>
        <v>30</v>
      </c>
      <c r="M27" t="s">
        <v>1287</v>
      </c>
      <c r="N27">
        <f>Inputs!D171</f>
        <v>30</v>
      </c>
      <c r="O27" t="s">
        <v>791</v>
      </c>
      <c r="P27">
        <f>Inputs!E171</f>
        <v>30</v>
      </c>
      <c r="Q27" t="s">
        <v>798</v>
      </c>
      <c r="R27">
        <f>Inputs!F171</f>
        <v>30</v>
      </c>
      <c r="S27" t="s">
        <v>1346</v>
      </c>
      <c r="T27">
        <f>Inputs!G171</f>
        <v>30</v>
      </c>
      <c r="U27" t="s">
        <v>1351</v>
      </c>
      <c r="V27">
        <f>Inputs!H171</f>
        <v>30</v>
      </c>
      <c r="W27" t="s">
        <v>1710</v>
      </c>
      <c r="X27">
        <f>Inputs!I171</f>
        <v>30</v>
      </c>
      <c r="Y27" t="s">
        <v>1810</v>
      </c>
      <c r="Z27">
        <f>Inputs!D172</f>
        <v>30</v>
      </c>
      <c r="AA27" t="s">
        <v>73</v>
      </c>
      <c r="AB27">
        <f>Inputs!E172</f>
        <v>30</v>
      </c>
      <c r="AC27" t="s">
        <v>1474</v>
      </c>
      <c r="AD27">
        <f>Inputs!F172</f>
        <v>30</v>
      </c>
      <c r="AE27" t="s">
        <v>472</v>
      </c>
      <c r="AF27">
        <f>Inputs!G172</f>
        <v>30</v>
      </c>
      <c r="AG27" t="s">
        <v>296</v>
      </c>
      <c r="AH27">
        <f>Inputs!H172</f>
        <v>30</v>
      </c>
      <c r="AI27" t="s">
        <v>966</v>
      </c>
      <c r="AJ27">
        <f>Inputs!I172</f>
        <v>30</v>
      </c>
      <c r="AK27" t="s">
        <v>406</v>
      </c>
      <c r="AL27">
        <f>Inputs!D177</f>
        <v>0</v>
      </c>
      <c r="AM27" t="s">
        <v>1271</v>
      </c>
      <c r="AN27">
        <f>Inputs!D180</f>
        <v>60</v>
      </c>
      <c r="AO27" t="s">
        <v>1040</v>
      </c>
      <c r="AP27">
        <f>Inputs!E180</f>
        <v>60</v>
      </c>
      <c r="AQ27" t="s">
        <v>773</v>
      </c>
      <c r="AR27">
        <f>Inputs!F180</f>
        <v>60</v>
      </c>
      <c r="AS27" t="s">
        <v>218</v>
      </c>
      <c r="AT27">
        <f>Inputs!G180</f>
        <v>60</v>
      </c>
      <c r="AU27" t="s">
        <v>1098</v>
      </c>
      <c r="AV27">
        <f>Inputs!H180</f>
        <v>60</v>
      </c>
      <c r="AW27" t="s">
        <v>1454</v>
      </c>
      <c r="AX27">
        <f>Inputs!I180</f>
        <v>60</v>
      </c>
      <c r="AY27" t="s">
        <v>132</v>
      </c>
      <c r="AZ27">
        <f>Inputs!D188</f>
        <v>0</v>
      </c>
      <c r="BA27" t="s">
        <v>1066</v>
      </c>
      <c r="BB27">
        <f>Inputs!E188</f>
        <v>40725</v>
      </c>
      <c r="BC27" t="s">
        <v>390</v>
      </c>
      <c r="BD27">
        <f>Inputs!F188</f>
        <v>0</v>
      </c>
      <c r="BE27" t="s">
        <v>1685</v>
      </c>
      <c r="BF27" t="str">
        <f>Inputs!G188</f>
        <v>SLN</v>
      </c>
      <c r="BG27" t="s">
        <v>1614</v>
      </c>
      <c r="BH27">
        <f>Inputs!H188</f>
        <v>10</v>
      </c>
      <c r="BI27" t="s">
        <v>1622</v>
      </c>
      <c r="BJ27">
        <f>Inputs!I188</f>
        <v>10</v>
      </c>
      <c r="BK27" t="s">
        <v>524</v>
      </c>
      <c r="BL27">
        <f>Inputs!J188</f>
        <v>0</v>
      </c>
    </row>
    <row r="28" spans="1:64" ht="12.75" customHeight="1" x14ac:dyDescent="0.2">
      <c r="A28" t="s">
        <v>649</v>
      </c>
      <c r="B28">
        <f>Inputs!D200</f>
        <v>0</v>
      </c>
      <c r="C28" t="s">
        <v>1800</v>
      </c>
      <c r="D28">
        <f>Inputs!D201</f>
        <v>0</v>
      </c>
      <c r="E28" t="s">
        <v>30</v>
      </c>
      <c r="F28">
        <f>Inputs!D202</f>
        <v>0</v>
      </c>
      <c r="G28" t="s">
        <v>340</v>
      </c>
      <c r="H28">
        <f>Inputs!E205</f>
        <v>30</v>
      </c>
      <c r="I28" t="s">
        <v>534</v>
      </c>
      <c r="J28">
        <f>Inputs!F205</f>
        <v>30</v>
      </c>
      <c r="K28" t="s">
        <v>1561</v>
      </c>
      <c r="L28">
        <f>Inputs!G205</f>
        <v>30</v>
      </c>
      <c r="M28" t="s">
        <v>1414</v>
      </c>
      <c r="N28">
        <f>Inputs!H205</f>
        <v>30</v>
      </c>
      <c r="O28" t="s">
        <v>87</v>
      </c>
      <c r="P28">
        <f>Inputs!I205</f>
        <v>30</v>
      </c>
      <c r="Q28" t="s">
        <v>1665</v>
      </c>
      <c r="R28">
        <f>Inputs!J205</f>
        <v>30</v>
      </c>
      <c r="S28" t="s">
        <v>1169</v>
      </c>
      <c r="T28">
        <f>Inputs!E206</f>
        <v>30</v>
      </c>
      <c r="U28" t="s">
        <v>1660</v>
      </c>
      <c r="V28">
        <f>Inputs!F206</f>
        <v>30</v>
      </c>
      <c r="W28" t="s">
        <v>1171</v>
      </c>
      <c r="X28">
        <f>Inputs!G206</f>
        <v>30</v>
      </c>
      <c r="Y28" t="s">
        <v>716</v>
      </c>
      <c r="Z28">
        <f>Inputs!H206</f>
        <v>30</v>
      </c>
      <c r="AA28" t="s">
        <v>1342</v>
      </c>
      <c r="AB28">
        <f>Inputs!I206</f>
        <v>30</v>
      </c>
      <c r="AC28" t="s">
        <v>1224</v>
      </c>
      <c r="AD28">
        <f>Inputs!J206</f>
        <v>30</v>
      </c>
      <c r="AE28" t="s">
        <v>955</v>
      </c>
      <c r="AF28">
        <f>Inputs!E207</f>
        <v>30</v>
      </c>
      <c r="AG28" t="s">
        <v>1006</v>
      </c>
      <c r="AH28">
        <f>Inputs!F207</f>
        <v>30</v>
      </c>
      <c r="AI28" t="s">
        <v>989</v>
      </c>
      <c r="AJ28">
        <f>Inputs!G207</f>
        <v>30</v>
      </c>
      <c r="AK28" t="s">
        <v>1152</v>
      </c>
      <c r="AL28">
        <f>Inputs!H207</f>
        <v>30</v>
      </c>
      <c r="AM28" t="s">
        <v>762</v>
      </c>
      <c r="AN28">
        <f>Inputs!I207</f>
        <v>30</v>
      </c>
      <c r="AO28" t="s">
        <v>15</v>
      </c>
      <c r="AP28">
        <f>Inputs!J207</f>
        <v>30</v>
      </c>
      <c r="AQ28" t="s">
        <v>146</v>
      </c>
      <c r="AR28">
        <f>Inputs!D211</f>
        <v>0</v>
      </c>
      <c r="AS28" t="s">
        <v>357</v>
      </c>
      <c r="AT28">
        <f>Inputs!E211</f>
        <v>0</v>
      </c>
      <c r="AU28" t="s">
        <v>1777</v>
      </c>
      <c r="AV28">
        <f>Inputs!F211</f>
        <v>0</v>
      </c>
      <c r="AW28" t="s">
        <v>1658</v>
      </c>
      <c r="AX28">
        <f>Inputs!G211</f>
        <v>0</v>
      </c>
      <c r="AY28" t="s">
        <v>868</v>
      </c>
      <c r="AZ28">
        <f>Inputs!H211</f>
        <v>0</v>
      </c>
      <c r="BA28" t="s">
        <v>515</v>
      </c>
      <c r="BB28">
        <f>Inputs!I211</f>
        <v>0</v>
      </c>
      <c r="BC28" t="s">
        <v>1468</v>
      </c>
      <c r="BD28">
        <f>Inputs!J211</f>
        <v>0</v>
      </c>
      <c r="BE28" t="s">
        <v>1798</v>
      </c>
      <c r="BF28">
        <f>Inputs!D218</f>
        <v>0</v>
      </c>
      <c r="BG28" t="s">
        <v>1110</v>
      </c>
      <c r="BH28">
        <f>Inputs!E218</f>
        <v>0</v>
      </c>
      <c r="BI28" t="s">
        <v>1431</v>
      </c>
      <c r="BJ28">
        <f>Inputs!F218</f>
        <v>0</v>
      </c>
      <c r="BK28" t="s">
        <v>1827</v>
      </c>
      <c r="BL28">
        <f>Inputs!G218</f>
        <v>0</v>
      </c>
    </row>
    <row r="29" spans="1:64" ht="12.75" customHeight="1" x14ac:dyDescent="0.2">
      <c r="A29" t="s">
        <v>1231</v>
      </c>
      <c r="B29">
        <f>Inputs!H218</f>
        <v>0</v>
      </c>
      <c r="C29" t="s">
        <v>1663</v>
      </c>
      <c r="D29">
        <f>Inputs!I218</f>
        <v>0</v>
      </c>
      <c r="E29" t="s">
        <v>437</v>
      </c>
      <c r="F29">
        <f>Inputs!J218</f>
        <v>0</v>
      </c>
      <c r="G29" t="s">
        <v>601</v>
      </c>
      <c r="H29">
        <f>Inputs!D227</f>
        <v>0</v>
      </c>
      <c r="I29" t="s">
        <v>574</v>
      </c>
      <c r="J29">
        <f>Inputs!E227</f>
        <v>0</v>
      </c>
      <c r="K29" t="s">
        <v>771</v>
      </c>
      <c r="L29">
        <f>Inputs!F227</f>
        <v>0</v>
      </c>
      <c r="M29" t="s">
        <v>470</v>
      </c>
      <c r="N29">
        <f>Inputs!G227</f>
        <v>0</v>
      </c>
      <c r="O29" t="s">
        <v>306</v>
      </c>
      <c r="P29">
        <f>Inputs!H227</f>
        <v>0</v>
      </c>
      <c r="Q29" t="s">
        <v>1799</v>
      </c>
      <c r="R29">
        <f>Inputs!I227</f>
        <v>0</v>
      </c>
      <c r="S29" t="s">
        <v>1738</v>
      </c>
      <c r="T29">
        <f>Inputs!J227</f>
        <v>0</v>
      </c>
      <c r="U29" t="s">
        <v>1790</v>
      </c>
      <c r="V29">
        <f>Inputs!E229</f>
        <v>0</v>
      </c>
      <c r="W29" t="s">
        <v>1375</v>
      </c>
      <c r="X29">
        <f>Inputs!F229</f>
        <v>0</v>
      </c>
      <c r="Y29" t="s">
        <v>1425</v>
      </c>
      <c r="Z29">
        <f>Inputs!G229</f>
        <v>0</v>
      </c>
      <c r="AA29" t="s">
        <v>90</v>
      </c>
      <c r="AB29">
        <f>Inputs!H229</f>
        <v>0</v>
      </c>
      <c r="AC29" t="s">
        <v>1684</v>
      </c>
      <c r="AD29">
        <f>Inputs!I229</f>
        <v>0</v>
      </c>
      <c r="AE29" t="s">
        <v>1722</v>
      </c>
      <c r="AF29">
        <f>Inputs!J229</f>
        <v>0</v>
      </c>
    </row>
  </sheetData>
  <pageMargins left="0.75" right="0.75" top="1" bottom="1" header="0.5" footer="0.5"/>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J232"/>
  <sheetViews>
    <sheetView zoomScaleNormal="100" workbookViewId="0"/>
  </sheetViews>
  <sheetFormatPr defaultRowHeight="12.75" customHeight="1" outlineLevelRow="3" x14ac:dyDescent="0.2"/>
  <cols>
    <col min="1" max="1" width="21" customWidth="1"/>
    <col min="2" max="2" width="14.7109375" customWidth="1"/>
    <col min="3" max="3" width="16.5703125" customWidth="1"/>
    <col min="4" max="5" width="18" customWidth="1"/>
    <col min="6" max="6" width="10.7109375" customWidth="1"/>
    <col min="7" max="7" width="11.5703125" customWidth="1"/>
    <col min="8" max="8" width="12" customWidth="1"/>
    <col min="9" max="9" width="14.85546875" customWidth="1"/>
    <col min="10" max="10" width="12.42578125" customWidth="1"/>
  </cols>
  <sheetData>
    <row r="1" spans="1:4" ht="12.75" customHeight="1" x14ac:dyDescent="0.2">
      <c r="A1" s="320" t="str">
        <f>D7</f>
        <v>ABC Corp.</v>
      </c>
      <c r="B1" s="320"/>
      <c r="C1" s="320"/>
      <c r="D1" s="320"/>
    </row>
    <row r="2" spans="1:4" ht="12.75" customHeight="1" x14ac:dyDescent="0.2">
      <c r="A2" s="320" t="e">
        <f>TEXT('(FnCalls 1)'!A41,"m/d/yyyy")&amp;" to "&amp;TEXT('(FnCalls 1)'!A47-1,"m/d/yyyy")&amp;", Scenario "&amp;1</f>
        <v>#VALUE!</v>
      </c>
      <c r="B2" s="320"/>
      <c r="C2" s="320"/>
      <c r="D2" s="320"/>
    </row>
    <row r="3" spans="1:4" ht="12.75" customHeight="1" x14ac:dyDescent="0.2">
      <c r="A3" s="320" t="str">
        <f>"Input Data"</f>
        <v>Input Data</v>
      </c>
      <c r="B3" s="320"/>
      <c r="C3" s="320"/>
      <c r="D3" s="320"/>
    </row>
    <row r="4" spans="1:4" ht="12.75" customHeight="1" x14ac:dyDescent="0.2">
      <c r="A4" s="320" t="str">
        <f>""</f>
        <v/>
      </c>
      <c r="B4" s="320"/>
      <c r="C4" s="320"/>
      <c r="D4" s="320"/>
    </row>
    <row r="5" spans="1:4" ht="12.75" customHeight="1" x14ac:dyDescent="0.2">
      <c r="A5" s="319" t="str">
        <f>"Shaded cells are input cells. You can enter data in them."</f>
        <v>Shaded cells are input cells. You can enter data in them.</v>
      </c>
      <c r="B5" s="319"/>
      <c r="C5" s="319"/>
      <c r="D5" s="319"/>
    </row>
    <row r="6" spans="1:4" ht="12.75" customHeight="1" x14ac:dyDescent="0.2">
      <c r="A6" s="319" t="str">
        <f>"Formulas in shaded cells are starting suggestions. You can overwrite them."</f>
        <v>Formulas in shaded cells are starting suggestions. You can overwrite them.</v>
      </c>
      <c r="B6" s="319"/>
      <c r="C6" s="319"/>
      <c r="D6" s="319"/>
    </row>
    <row r="7" spans="1:4" ht="12.75" customHeight="1" x14ac:dyDescent="0.2">
      <c r="A7" s="5" t="str">
        <f>Labels!B37</f>
        <v>Company Name</v>
      </c>
      <c r="B7" s="6"/>
      <c r="C7" s="7"/>
      <c r="D7" s="8" t="s">
        <v>1074</v>
      </c>
    </row>
    <row r="10" spans="1:4" ht="12.75" customHeight="1" x14ac:dyDescent="0.2">
      <c r="A10" s="322" t="str">
        <f>"Sales Input Data"</f>
        <v>Sales Input Data</v>
      </c>
      <c r="B10" s="322"/>
    </row>
    <row r="11" spans="1:4" ht="12.75" hidden="1" customHeight="1" outlineLevel="1" x14ac:dyDescent="0.2">
      <c r="A11" s="322" t="str">
        <f>""</f>
        <v/>
      </c>
      <c r="B11" s="322"/>
    </row>
    <row r="12" spans="1:4" ht="12.75" hidden="1" customHeight="1" outlineLevel="1" x14ac:dyDescent="0.2">
      <c r="A12" s="3" t="str">
        <f>"Sales Units"</f>
        <v>Sales Units</v>
      </c>
    </row>
    <row r="13" spans="1:4" ht="12.75" hidden="1" customHeight="1" outlineLevel="2" x14ac:dyDescent="0.2">
      <c r="A13" s="3" t="str">
        <f>""</f>
        <v/>
      </c>
    </row>
    <row r="14" spans="1:4" ht="12.75" hidden="1" customHeight="1" outlineLevel="2" x14ac:dyDescent="0.2">
      <c r="A14" s="5" t="str">
        <f>Labels!B149</f>
        <v>Round Sales Units?</v>
      </c>
      <c r="B14" s="6"/>
      <c r="C14" s="7"/>
      <c r="D14" s="9" t="b">
        <f>TRUE</f>
        <v>1</v>
      </c>
    </row>
    <row r="15" spans="1:4" ht="12.75" hidden="1" customHeight="1" outlineLevel="2" x14ac:dyDescent="0.2"/>
    <row r="16" spans="1:4" ht="12.75" hidden="1" customHeight="1" outlineLevel="2" x14ac:dyDescent="0.2">
      <c r="A16" s="1" t="str">
        <f>""</f>
        <v/>
      </c>
    </row>
    <row r="17" spans="1:9" ht="12.75" hidden="1" customHeight="1" outlineLevel="2" x14ac:dyDescent="0.2">
      <c r="D17" s="10" t="str">
        <f>'(FnCalls 1)'!F41</f>
        <v>MMM 2011</v>
      </c>
      <c r="E17" s="11" t="str">
        <f>'(FnCalls 1)'!F42</f>
        <v>MMM 2011</v>
      </c>
      <c r="F17" s="11" t="str">
        <f>'(FnCalls 1)'!F43</f>
        <v>MMM 2011</v>
      </c>
      <c r="G17" s="11" t="str">
        <f>'(FnCalls 1)'!F44</f>
        <v>MMM 2011</v>
      </c>
      <c r="H17" s="11" t="str">
        <f>'(FnCalls 1)'!F45</f>
        <v>MMM 2011</v>
      </c>
      <c r="I17" s="12" t="str">
        <f>'(FnCalls 1)'!F46</f>
        <v>MMM 2011</v>
      </c>
    </row>
    <row r="18" spans="1:9" ht="12.75" hidden="1" customHeight="1" outlineLevel="2" x14ac:dyDescent="0.2">
      <c r="A18" s="13" t="str">
        <f>Labels!B148</f>
        <v>Sales Units, Products</v>
      </c>
      <c r="B18" s="14" t="str">
        <f>Labels!B255</f>
        <v>Product 1</v>
      </c>
      <c r="C18" s="15" t="str">
        <f>Labels!B259</f>
        <v>Location 1</v>
      </c>
      <c r="D18" s="16">
        <f>(1+'(Tables)'!B20)*0</f>
        <v>0</v>
      </c>
      <c r="E18" s="16">
        <f>(1+'(Tables)'!C20)*D18</f>
        <v>0</v>
      </c>
      <c r="F18" s="16">
        <f>(1+'(Tables)'!D20)*E18</f>
        <v>0</v>
      </c>
      <c r="G18" s="16">
        <f>(1+'(Tables)'!E20)*F18</f>
        <v>0</v>
      </c>
      <c r="H18" s="16">
        <f>(1+'(Tables)'!F20)*G18</f>
        <v>0</v>
      </c>
      <c r="I18" s="17">
        <f>(1+'(Tables)'!G20)*H18</f>
        <v>0</v>
      </c>
    </row>
    <row r="19" spans="1:9" ht="12.75" hidden="1" customHeight="1" outlineLevel="2" x14ac:dyDescent="0.2">
      <c r="A19" s="18"/>
      <c r="B19" s="19"/>
      <c r="C19" s="20" t="str">
        <f>Labels!B260</f>
        <v>Location 2</v>
      </c>
      <c r="D19" s="21">
        <f>(1+'(Tables)'!B21)*0</f>
        <v>0</v>
      </c>
      <c r="E19" s="21">
        <f>(1+'(Tables)'!C21)*D19</f>
        <v>0</v>
      </c>
      <c r="F19" s="21">
        <f>(1+'(Tables)'!D21)*E19</f>
        <v>0</v>
      </c>
      <c r="G19" s="21">
        <f>(1+'(Tables)'!E21)*F19</f>
        <v>0</v>
      </c>
      <c r="H19" s="21">
        <f>(1+'(Tables)'!F21)*G19</f>
        <v>0</v>
      </c>
      <c r="I19" s="22">
        <f>(1+'(Tables)'!G21)*H19</f>
        <v>0</v>
      </c>
    </row>
    <row r="20" spans="1:9" ht="12.75" hidden="1" customHeight="1" outlineLevel="2" x14ac:dyDescent="0.2">
      <c r="A20" s="18"/>
      <c r="B20" s="19" t="str">
        <f>Labels!B256</f>
        <v>Product 2</v>
      </c>
      <c r="C20" s="20" t="str">
        <f>Labels!B259</f>
        <v>Location 1</v>
      </c>
      <c r="D20" s="21">
        <f>(1+'(Tables)'!B24)*0</f>
        <v>0</v>
      </c>
      <c r="E20" s="21">
        <f>(1+'(Tables)'!C24)*D20</f>
        <v>0</v>
      </c>
      <c r="F20" s="21">
        <f>(1+'(Tables)'!D24)*E20</f>
        <v>0</v>
      </c>
      <c r="G20" s="21">
        <f>(1+'(Tables)'!E24)*F20</f>
        <v>0</v>
      </c>
      <c r="H20" s="21">
        <f>(1+'(Tables)'!F24)*G20</f>
        <v>0</v>
      </c>
      <c r="I20" s="22">
        <f>(1+'(Tables)'!G24)*H20</f>
        <v>0</v>
      </c>
    </row>
    <row r="21" spans="1:9" ht="12.75" hidden="1" customHeight="1" outlineLevel="2" x14ac:dyDescent="0.2">
      <c r="A21" s="18"/>
      <c r="B21" s="19"/>
      <c r="C21" s="20" t="str">
        <f>Labels!B260</f>
        <v>Location 2</v>
      </c>
      <c r="D21" s="21">
        <f>(1+'(Tables)'!B25)*0</f>
        <v>0</v>
      </c>
      <c r="E21" s="21">
        <f>(1+'(Tables)'!C25)*D21</f>
        <v>0</v>
      </c>
      <c r="F21" s="21">
        <f>(1+'(Tables)'!D25)*E21</f>
        <v>0</v>
      </c>
      <c r="G21" s="21">
        <f>(1+'(Tables)'!E25)*F21</f>
        <v>0</v>
      </c>
      <c r="H21" s="21">
        <f>(1+'(Tables)'!F25)*G21</f>
        <v>0</v>
      </c>
      <c r="I21" s="22">
        <f>(1+'(Tables)'!G25)*H21</f>
        <v>0</v>
      </c>
    </row>
    <row r="22" spans="1:9" ht="12.75" hidden="1" customHeight="1" outlineLevel="2" x14ac:dyDescent="0.2">
      <c r="A22" s="5"/>
      <c r="B22" s="6"/>
      <c r="C22" s="7"/>
      <c r="D22" s="6"/>
      <c r="E22" s="6"/>
      <c r="F22" s="6"/>
      <c r="G22" s="6"/>
      <c r="H22" s="6"/>
      <c r="I22" s="7"/>
    </row>
    <row r="23" spans="1:9" ht="12.75" hidden="1" customHeight="1" outlineLevel="2" x14ac:dyDescent="0.2">
      <c r="A23" s="18" t="str">
        <f>Labels!B143</f>
        <v>Sales Unit Gr/Yr, Prods</v>
      </c>
      <c r="B23" s="19" t="str">
        <f>Labels!B255</f>
        <v>Product 1</v>
      </c>
      <c r="C23" s="20" t="str">
        <f>Labels!B259</f>
        <v>Location 1</v>
      </c>
      <c r="D23" s="23">
        <f>2*0-0</f>
        <v>0</v>
      </c>
      <c r="E23" s="23">
        <f>2*D23-D23</f>
        <v>0</v>
      </c>
      <c r="F23" s="23">
        <f t="shared" ref="F23:I26" si="0">2*E23-D23</f>
        <v>0</v>
      </c>
      <c r="G23" s="23">
        <f t="shared" si="0"/>
        <v>0</v>
      </c>
      <c r="H23" s="23">
        <f t="shared" si="0"/>
        <v>0</v>
      </c>
      <c r="I23" s="24">
        <f t="shared" si="0"/>
        <v>0</v>
      </c>
    </row>
    <row r="24" spans="1:9" ht="12.75" hidden="1" customHeight="1" outlineLevel="2" x14ac:dyDescent="0.2">
      <c r="A24" s="18"/>
      <c r="B24" s="19"/>
      <c r="C24" s="20" t="str">
        <f>Labels!B260</f>
        <v>Location 2</v>
      </c>
      <c r="D24" s="23">
        <f>2*0-0</f>
        <v>0</v>
      </c>
      <c r="E24" s="23">
        <f>2*D24-D24</f>
        <v>0</v>
      </c>
      <c r="F24" s="23">
        <f t="shared" si="0"/>
        <v>0</v>
      </c>
      <c r="G24" s="23">
        <f t="shared" si="0"/>
        <v>0</v>
      </c>
      <c r="H24" s="23">
        <f t="shared" si="0"/>
        <v>0</v>
      </c>
      <c r="I24" s="24">
        <f t="shared" si="0"/>
        <v>0</v>
      </c>
    </row>
    <row r="25" spans="1:9" ht="12.75" hidden="1" customHeight="1" outlineLevel="2" x14ac:dyDescent="0.2">
      <c r="A25" s="18"/>
      <c r="B25" s="19" t="str">
        <f>Labels!B256</f>
        <v>Product 2</v>
      </c>
      <c r="C25" s="20" t="str">
        <f>Labels!B259</f>
        <v>Location 1</v>
      </c>
      <c r="D25" s="23">
        <f>2*0-0</f>
        <v>0</v>
      </c>
      <c r="E25" s="23">
        <f>2*D25-D25</f>
        <v>0</v>
      </c>
      <c r="F25" s="23">
        <f t="shared" si="0"/>
        <v>0</v>
      </c>
      <c r="G25" s="23">
        <f t="shared" si="0"/>
        <v>0</v>
      </c>
      <c r="H25" s="23">
        <f t="shared" si="0"/>
        <v>0</v>
      </c>
      <c r="I25" s="24">
        <f t="shared" si="0"/>
        <v>0</v>
      </c>
    </row>
    <row r="26" spans="1:9" ht="12.75" hidden="1" customHeight="1" outlineLevel="2" x14ac:dyDescent="0.2">
      <c r="A26" s="25"/>
      <c r="B26" s="26"/>
      <c r="C26" s="27" t="str">
        <f>Labels!B260</f>
        <v>Location 2</v>
      </c>
      <c r="D26" s="28">
        <f>2*0-0</f>
        <v>0</v>
      </c>
      <c r="E26" s="28">
        <f>2*D26-D26</f>
        <v>0</v>
      </c>
      <c r="F26" s="28">
        <f t="shared" si="0"/>
        <v>0</v>
      </c>
      <c r="G26" s="28">
        <f t="shared" si="0"/>
        <v>0</v>
      </c>
      <c r="H26" s="28">
        <f t="shared" si="0"/>
        <v>0</v>
      </c>
      <c r="I26" s="29">
        <f t="shared" si="0"/>
        <v>0</v>
      </c>
    </row>
    <row r="27" spans="1:9" ht="12.75" hidden="1" customHeight="1" outlineLevel="2" x14ac:dyDescent="0.2"/>
    <row r="28" spans="1:9" ht="12.75" hidden="1" customHeight="1" outlineLevel="2" collapsed="1" x14ac:dyDescent="0.2"/>
    <row r="29" spans="1:9" ht="12.75" hidden="1" customHeight="1" outlineLevel="1" collapsed="1" x14ac:dyDescent="0.2">
      <c r="A29" s="321" t="str">
        <f>"Price Input Data"</f>
        <v>Price Input Data</v>
      </c>
      <c r="B29" s="321"/>
    </row>
    <row r="30" spans="1:9" ht="12.75" hidden="1" customHeight="1" outlineLevel="2" x14ac:dyDescent="0.2">
      <c r="A30" s="321" t="str">
        <f>""</f>
        <v/>
      </c>
      <c r="B30" s="321"/>
    </row>
    <row r="31" spans="1:9" ht="12.75" hidden="1" customHeight="1" outlineLevel="2" x14ac:dyDescent="0.2">
      <c r="A31" s="1" t="str">
        <f>""</f>
        <v/>
      </c>
    </row>
    <row r="32" spans="1:9" ht="12.75" hidden="1" customHeight="1" outlineLevel="2" x14ac:dyDescent="0.2">
      <c r="D32" s="10" t="str">
        <f>'(FnCalls 1)'!F41</f>
        <v>MMM 2011</v>
      </c>
      <c r="E32" s="11" t="str">
        <f>'(FnCalls 1)'!F42</f>
        <v>MMM 2011</v>
      </c>
      <c r="F32" s="11" t="str">
        <f>'(FnCalls 1)'!F43</f>
        <v>MMM 2011</v>
      </c>
      <c r="G32" s="11" t="str">
        <f>'(FnCalls 1)'!F44</f>
        <v>MMM 2011</v>
      </c>
      <c r="H32" s="11" t="str">
        <f>'(FnCalls 1)'!F45</f>
        <v>MMM 2011</v>
      </c>
      <c r="I32" s="12" t="str">
        <f>'(FnCalls 1)'!F46</f>
        <v>MMM 2011</v>
      </c>
    </row>
    <row r="33" spans="1:9" ht="12.75" hidden="1" customHeight="1" outlineLevel="2" x14ac:dyDescent="0.2">
      <c r="A33" s="13" t="str">
        <f>Labels!B118</f>
        <v>List Price - Products</v>
      </c>
      <c r="B33" s="14" t="str">
        <f>Labels!B255</f>
        <v>Product 1</v>
      </c>
      <c r="C33" s="30"/>
      <c r="D33" s="31">
        <f>1+1*1*0-1*0</f>
        <v>1</v>
      </c>
      <c r="E33" s="31">
        <f t="shared" ref="E33:I34" si="1">D33+1*D33*0-D33*0</f>
        <v>1</v>
      </c>
      <c r="F33" s="31">
        <f t="shared" si="1"/>
        <v>1</v>
      </c>
      <c r="G33" s="31">
        <f t="shared" si="1"/>
        <v>1</v>
      </c>
      <c r="H33" s="31">
        <f t="shared" si="1"/>
        <v>1</v>
      </c>
      <c r="I33" s="32">
        <f t="shared" si="1"/>
        <v>1</v>
      </c>
    </row>
    <row r="34" spans="1:9" ht="12.75" hidden="1" customHeight="1" outlineLevel="2" x14ac:dyDescent="0.2">
      <c r="A34" s="18"/>
      <c r="B34" s="19" t="str">
        <f>Labels!B256</f>
        <v>Product 2</v>
      </c>
      <c r="C34" s="33"/>
      <c r="D34" s="34">
        <f>1+1*1*0-1*0</f>
        <v>1</v>
      </c>
      <c r="E34" s="34">
        <f t="shared" si="1"/>
        <v>1</v>
      </c>
      <c r="F34" s="34">
        <f t="shared" si="1"/>
        <v>1</v>
      </c>
      <c r="G34" s="34">
        <f t="shared" si="1"/>
        <v>1</v>
      </c>
      <c r="H34" s="34">
        <f t="shared" si="1"/>
        <v>1</v>
      </c>
      <c r="I34" s="35">
        <f t="shared" si="1"/>
        <v>1</v>
      </c>
    </row>
    <row r="35" spans="1:9" ht="12.75" hidden="1" customHeight="1" outlineLevel="2" x14ac:dyDescent="0.2">
      <c r="A35" s="5"/>
      <c r="B35" s="6"/>
      <c r="C35" s="7"/>
      <c r="D35" s="6"/>
      <c r="E35" s="6"/>
      <c r="F35" s="6"/>
      <c r="G35" s="6"/>
      <c r="H35" s="6"/>
      <c r="I35" s="7"/>
    </row>
    <row r="36" spans="1:9" ht="12.75" hidden="1" customHeight="1" outlineLevel="2" x14ac:dyDescent="0.2">
      <c r="A36" s="18" t="str">
        <f>Labels!B117</f>
        <v>Discount % - Products</v>
      </c>
      <c r="B36" s="19" t="str">
        <f>Labels!B255</f>
        <v>Product 1</v>
      </c>
      <c r="C36" s="20" t="str">
        <f>Labels!B259</f>
        <v>Location 1</v>
      </c>
      <c r="D36" s="23">
        <f>0.05</f>
        <v>0.05</v>
      </c>
      <c r="E36" s="23">
        <f t="shared" ref="E36:I39" si="2">D36</f>
        <v>0.05</v>
      </c>
      <c r="F36" s="23">
        <f t="shared" si="2"/>
        <v>0.05</v>
      </c>
      <c r="G36" s="23">
        <f t="shared" si="2"/>
        <v>0.05</v>
      </c>
      <c r="H36" s="23">
        <f t="shared" si="2"/>
        <v>0.05</v>
      </c>
      <c r="I36" s="24">
        <f t="shared" si="2"/>
        <v>0.05</v>
      </c>
    </row>
    <row r="37" spans="1:9" ht="12.75" hidden="1" customHeight="1" outlineLevel="2" x14ac:dyDescent="0.2">
      <c r="A37" s="18"/>
      <c r="B37" s="19"/>
      <c r="C37" s="20" t="str">
        <f>Labels!B260</f>
        <v>Location 2</v>
      </c>
      <c r="D37" s="23">
        <f>0.05</f>
        <v>0.05</v>
      </c>
      <c r="E37" s="23">
        <f t="shared" si="2"/>
        <v>0.05</v>
      </c>
      <c r="F37" s="23">
        <f t="shared" si="2"/>
        <v>0.05</v>
      </c>
      <c r="G37" s="23">
        <f t="shared" si="2"/>
        <v>0.05</v>
      </c>
      <c r="H37" s="23">
        <f t="shared" si="2"/>
        <v>0.05</v>
      </c>
      <c r="I37" s="24">
        <f t="shared" si="2"/>
        <v>0.05</v>
      </c>
    </row>
    <row r="38" spans="1:9" ht="12.75" hidden="1" customHeight="1" outlineLevel="2" x14ac:dyDescent="0.2">
      <c r="A38" s="18"/>
      <c r="B38" s="19" t="str">
        <f>Labels!B256</f>
        <v>Product 2</v>
      </c>
      <c r="C38" s="20" t="str">
        <f>Labels!B259</f>
        <v>Location 1</v>
      </c>
      <c r="D38" s="23">
        <f>0.05</f>
        <v>0.05</v>
      </c>
      <c r="E38" s="23">
        <f t="shared" si="2"/>
        <v>0.05</v>
      </c>
      <c r="F38" s="23">
        <f t="shared" si="2"/>
        <v>0.05</v>
      </c>
      <c r="G38" s="23">
        <f t="shared" si="2"/>
        <v>0.05</v>
      </c>
      <c r="H38" s="23">
        <f t="shared" si="2"/>
        <v>0.05</v>
      </c>
      <c r="I38" s="24">
        <f t="shared" si="2"/>
        <v>0.05</v>
      </c>
    </row>
    <row r="39" spans="1:9" ht="12.75" hidden="1" customHeight="1" outlineLevel="2" x14ac:dyDescent="0.2">
      <c r="A39" s="25"/>
      <c r="B39" s="26"/>
      <c r="C39" s="27" t="str">
        <f>Labels!B260</f>
        <v>Location 2</v>
      </c>
      <c r="D39" s="28">
        <f>0.05</f>
        <v>0.05</v>
      </c>
      <c r="E39" s="28">
        <f t="shared" si="2"/>
        <v>0.05</v>
      </c>
      <c r="F39" s="28">
        <f t="shared" si="2"/>
        <v>0.05</v>
      </c>
      <c r="G39" s="28">
        <f t="shared" si="2"/>
        <v>0.05</v>
      </c>
      <c r="H39" s="28">
        <f t="shared" si="2"/>
        <v>0.05</v>
      </c>
      <c r="I39" s="29">
        <f t="shared" si="2"/>
        <v>0.05</v>
      </c>
    </row>
    <row r="40" spans="1:9" ht="12.75" hidden="1" customHeight="1" outlineLevel="2" x14ac:dyDescent="0.2"/>
    <row r="41" spans="1:9" ht="12.75" hidden="1" customHeight="1" outlineLevel="2" collapsed="1" x14ac:dyDescent="0.2"/>
    <row r="42" spans="1:9" ht="12.75" hidden="1" customHeight="1" outlineLevel="1" collapsed="1" x14ac:dyDescent="0.2"/>
    <row r="43" spans="1:9" ht="12.75" customHeight="1" collapsed="1" x14ac:dyDescent="0.2"/>
    <row r="44" spans="1:9" ht="12.75" customHeight="1" x14ac:dyDescent="0.2">
      <c r="A44" s="322" t="str">
        <f>"Cost of Goods and Services"</f>
        <v>Cost of Goods and Services</v>
      </c>
      <c r="B44" s="322"/>
    </row>
    <row r="45" spans="1:9" ht="12.75" hidden="1" customHeight="1" outlineLevel="1" x14ac:dyDescent="0.2">
      <c r="A45" s="1" t="str">
        <f>""</f>
        <v/>
      </c>
    </row>
    <row r="46" spans="1:9" ht="12.75" hidden="1" customHeight="1" outlineLevel="1" x14ac:dyDescent="0.2">
      <c r="A46" s="321" t="str">
        <f>"Direct Cost - Production"</f>
        <v>Direct Cost - Production</v>
      </c>
      <c r="B46" s="321"/>
    </row>
    <row r="47" spans="1:9" ht="12.75" hidden="1" customHeight="1" outlineLevel="2" x14ac:dyDescent="0.2">
      <c r="A47" s="321" t="str">
        <f>""</f>
        <v/>
      </c>
      <c r="B47" s="321"/>
    </row>
    <row r="48" spans="1:9" ht="12.75" hidden="1" customHeight="1" outlineLevel="2" x14ac:dyDescent="0.2">
      <c r="A48" s="321" t="str">
        <f>"Direct Material - Products"</f>
        <v>Direct Material - Products</v>
      </c>
      <c r="B48" s="321"/>
    </row>
    <row r="49" spans="1:10" ht="12.75" hidden="1" customHeight="1" outlineLevel="3" x14ac:dyDescent="0.2">
      <c r="A49" s="321" t="str">
        <f>""</f>
        <v/>
      </c>
      <c r="B49" s="321"/>
    </row>
    <row r="50" spans="1:10" ht="12.75" hidden="1" customHeight="1" outlineLevel="3" x14ac:dyDescent="0.2">
      <c r="D50" s="10" t="str">
        <f>'(FnCalls 1)'!F40</f>
        <v>MMM 2010</v>
      </c>
      <c r="E50" s="11" t="str">
        <f>'(FnCalls 1)'!F41</f>
        <v>MMM 2011</v>
      </c>
      <c r="F50" s="11" t="str">
        <f>'(FnCalls 1)'!F42</f>
        <v>MMM 2011</v>
      </c>
      <c r="G50" s="11" t="str">
        <f>'(FnCalls 1)'!F43</f>
        <v>MMM 2011</v>
      </c>
      <c r="H50" s="11" t="str">
        <f>'(FnCalls 1)'!F44</f>
        <v>MMM 2011</v>
      </c>
      <c r="I50" s="11" t="str">
        <f>'(FnCalls 1)'!F45</f>
        <v>MMM 2011</v>
      </c>
      <c r="J50" s="12" t="str">
        <f>'(FnCalls 1)'!F46</f>
        <v>MMM 2011</v>
      </c>
    </row>
    <row r="51" spans="1:10" ht="12.75" hidden="1" customHeight="1" outlineLevel="3" x14ac:dyDescent="0.2">
      <c r="A51" s="13" t="str">
        <f>Labels!B51</f>
        <v>Dir Matl U / Prodn U</v>
      </c>
      <c r="B51" s="14" t="str">
        <f>Labels!B255</f>
        <v>Product 1</v>
      </c>
      <c r="C51" s="30"/>
      <c r="D51" s="36"/>
      <c r="E51" s="37">
        <f>1*1</f>
        <v>1</v>
      </c>
      <c r="F51" s="37">
        <f t="shared" ref="F51:J52" si="3">E51*1</f>
        <v>1</v>
      </c>
      <c r="G51" s="37">
        <f t="shared" si="3"/>
        <v>1</v>
      </c>
      <c r="H51" s="37">
        <f t="shared" si="3"/>
        <v>1</v>
      </c>
      <c r="I51" s="37">
        <f t="shared" si="3"/>
        <v>1</v>
      </c>
      <c r="J51" s="38">
        <f t="shared" si="3"/>
        <v>1</v>
      </c>
    </row>
    <row r="52" spans="1:10" ht="12.75" hidden="1" customHeight="1" outlineLevel="3" x14ac:dyDescent="0.2">
      <c r="A52" s="18"/>
      <c r="B52" s="19" t="str">
        <f>Labels!B256</f>
        <v>Product 2</v>
      </c>
      <c r="C52" s="33"/>
      <c r="D52" s="39"/>
      <c r="E52" s="40">
        <f>1*1</f>
        <v>1</v>
      </c>
      <c r="F52" s="40">
        <f t="shared" si="3"/>
        <v>1</v>
      </c>
      <c r="G52" s="40">
        <f t="shared" si="3"/>
        <v>1</v>
      </c>
      <c r="H52" s="40">
        <f t="shared" si="3"/>
        <v>1</v>
      </c>
      <c r="I52" s="40">
        <f t="shared" si="3"/>
        <v>1</v>
      </c>
      <c r="J52" s="41">
        <f t="shared" si="3"/>
        <v>1</v>
      </c>
    </row>
    <row r="53" spans="1:10" ht="12.75" hidden="1" customHeight="1" outlineLevel="3" x14ac:dyDescent="0.2">
      <c r="A53" s="5"/>
      <c r="B53" s="6"/>
      <c r="C53" s="7"/>
      <c r="D53" s="6"/>
      <c r="E53" s="6"/>
      <c r="F53" s="6"/>
      <c r="G53" s="6"/>
      <c r="H53" s="6"/>
      <c r="I53" s="6"/>
      <c r="J53" s="7"/>
    </row>
    <row r="54" spans="1:10" ht="12.75" hidden="1" customHeight="1" outlineLevel="3" x14ac:dyDescent="0.2">
      <c r="A54" s="25" t="str">
        <f>Labels!B49</f>
        <v>Dir Matl Cost / DM Unit</v>
      </c>
      <c r="B54" s="42"/>
      <c r="C54" s="43"/>
      <c r="D54" s="44">
        <f>0</f>
        <v>0</v>
      </c>
      <c r="E54" s="44">
        <f t="shared" ref="E54:J54" si="4">D54</f>
        <v>0</v>
      </c>
      <c r="F54" s="44">
        <f t="shared" si="4"/>
        <v>0</v>
      </c>
      <c r="G54" s="44">
        <f t="shared" si="4"/>
        <v>0</v>
      </c>
      <c r="H54" s="44">
        <f t="shared" si="4"/>
        <v>0</v>
      </c>
      <c r="I54" s="44">
        <f t="shared" si="4"/>
        <v>0</v>
      </c>
      <c r="J54" s="45">
        <f t="shared" si="4"/>
        <v>0</v>
      </c>
    </row>
    <row r="55" spans="1:10" ht="12.75" hidden="1" customHeight="1" outlineLevel="3" collapsed="1" x14ac:dyDescent="0.2"/>
    <row r="56" spans="1:10" ht="12.75" hidden="1" customHeight="1" outlineLevel="2" collapsed="1" x14ac:dyDescent="0.2">
      <c r="A56" s="321" t="str">
        <f>"Direct Labor - Products"</f>
        <v>Direct Labor - Products</v>
      </c>
      <c r="B56" s="321"/>
    </row>
    <row r="57" spans="1:10" ht="12.75" hidden="1" customHeight="1" outlineLevel="3" x14ac:dyDescent="0.2">
      <c r="A57" s="321" t="str">
        <f>""</f>
        <v/>
      </c>
      <c r="B57" s="321"/>
    </row>
    <row r="58" spans="1:10" ht="12.75" hidden="1" customHeight="1" outlineLevel="3" x14ac:dyDescent="0.2"/>
    <row r="59" spans="1:10" ht="12.75" hidden="1" customHeight="1" outlineLevel="3" collapsed="1" x14ac:dyDescent="0.2"/>
    <row r="60" spans="1:10" ht="12.75" hidden="1" customHeight="1" outlineLevel="2" collapsed="1" x14ac:dyDescent="0.2">
      <c r="A60" s="321" t="str">
        <f>"Direct Overhead - Products"</f>
        <v>Direct Overhead - Products</v>
      </c>
      <c r="B60" s="321"/>
    </row>
    <row r="61" spans="1:10" ht="12.75" hidden="1" customHeight="1" outlineLevel="3" x14ac:dyDescent="0.2">
      <c r="A61" s="321" t="str">
        <f>""</f>
        <v/>
      </c>
      <c r="B61" s="321"/>
    </row>
    <row r="62" spans="1:10" ht="12.75" hidden="1" customHeight="1" outlineLevel="3" x14ac:dyDescent="0.2">
      <c r="D62" s="10" t="str">
        <f>'(FnCalls 1)'!F41</f>
        <v>MMM 2011</v>
      </c>
      <c r="E62" s="11" t="str">
        <f>'(FnCalls 1)'!F42</f>
        <v>MMM 2011</v>
      </c>
      <c r="F62" s="11" t="str">
        <f>'(FnCalls 1)'!F43</f>
        <v>MMM 2011</v>
      </c>
      <c r="G62" s="11" t="str">
        <f>'(FnCalls 1)'!F44</f>
        <v>MMM 2011</v>
      </c>
      <c r="H62" s="11" t="str">
        <f>'(FnCalls 1)'!F45</f>
        <v>MMM 2011</v>
      </c>
      <c r="I62" s="12" t="str">
        <f>'(FnCalls 1)'!F46</f>
        <v>MMM 2011</v>
      </c>
    </row>
    <row r="63" spans="1:10" ht="12.75" hidden="1" customHeight="1" outlineLevel="3" x14ac:dyDescent="0.2">
      <c r="A63" s="13" t="str">
        <f>Labels!B53</f>
        <v>Direct Overhead / U</v>
      </c>
      <c r="B63" s="14" t="str">
        <f>Labels!B255</f>
        <v>Product 1</v>
      </c>
      <c r="C63" s="30"/>
      <c r="D63" s="31">
        <f>0*1</f>
        <v>0</v>
      </c>
      <c r="E63" s="31">
        <f t="shared" ref="E63:I64" si="5">D63*1</f>
        <v>0</v>
      </c>
      <c r="F63" s="31">
        <f t="shared" si="5"/>
        <v>0</v>
      </c>
      <c r="G63" s="31">
        <f t="shared" si="5"/>
        <v>0</v>
      </c>
      <c r="H63" s="31">
        <f t="shared" si="5"/>
        <v>0</v>
      </c>
      <c r="I63" s="32">
        <f t="shared" si="5"/>
        <v>0</v>
      </c>
    </row>
    <row r="64" spans="1:10" ht="12.75" hidden="1" customHeight="1" outlineLevel="3" x14ac:dyDescent="0.2">
      <c r="A64" s="25"/>
      <c r="B64" s="26" t="str">
        <f>Labels!B256</f>
        <v>Product 2</v>
      </c>
      <c r="C64" s="46"/>
      <c r="D64" s="47">
        <f>0*1</f>
        <v>0</v>
      </c>
      <c r="E64" s="47">
        <f t="shared" si="5"/>
        <v>0</v>
      </c>
      <c r="F64" s="47">
        <f t="shared" si="5"/>
        <v>0</v>
      </c>
      <c r="G64" s="47">
        <f t="shared" si="5"/>
        <v>0</v>
      </c>
      <c r="H64" s="47">
        <f t="shared" si="5"/>
        <v>0</v>
      </c>
      <c r="I64" s="48">
        <f t="shared" si="5"/>
        <v>0</v>
      </c>
    </row>
    <row r="65" spans="1:9" ht="12.75" hidden="1" customHeight="1" outlineLevel="3" collapsed="1" x14ac:dyDescent="0.2"/>
    <row r="66" spans="1:9" ht="12.75" hidden="1" customHeight="1" outlineLevel="2" collapsed="1" x14ac:dyDescent="0.2"/>
    <row r="67" spans="1:9" ht="12.75" hidden="1" customHeight="1" outlineLevel="1" collapsed="1" x14ac:dyDescent="0.2"/>
    <row r="68" spans="1:9" ht="12.75" customHeight="1" collapsed="1" x14ac:dyDescent="0.2"/>
    <row r="69" spans="1:9" ht="12.75" customHeight="1" x14ac:dyDescent="0.2">
      <c r="A69" s="322" t="str">
        <f>"Indirect Employees"</f>
        <v>Indirect Employees</v>
      </c>
      <c r="B69" s="322"/>
    </row>
    <row r="70" spans="1:9" ht="12.75" hidden="1" customHeight="1" outlineLevel="1" x14ac:dyDescent="0.2">
      <c r="E70" s="1" t="str">
        <f>""</f>
        <v/>
      </c>
    </row>
    <row r="71" spans="1:9" ht="12.75" hidden="1" customHeight="1" outlineLevel="1" x14ac:dyDescent="0.2">
      <c r="A71" s="321" t="str">
        <f>"Employee Count"</f>
        <v>Employee Count</v>
      </c>
      <c r="B71" s="321"/>
    </row>
    <row r="72" spans="1:9" ht="12.75" hidden="1" customHeight="1" outlineLevel="2" x14ac:dyDescent="0.2">
      <c r="D72" s="10" t="str">
        <f>'(FnCalls 1)'!F41</f>
        <v>MMM 2011</v>
      </c>
      <c r="E72" s="11" t="str">
        <f>'(FnCalls 1)'!F42</f>
        <v>MMM 2011</v>
      </c>
      <c r="F72" s="11" t="str">
        <f>'(FnCalls 1)'!F43</f>
        <v>MMM 2011</v>
      </c>
      <c r="G72" s="11" t="str">
        <f>'(FnCalls 1)'!F44</f>
        <v>MMM 2011</v>
      </c>
      <c r="H72" s="11" t="str">
        <f>'(FnCalls 1)'!F45</f>
        <v>MMM 2011</v>
      </c>
      <c r="I72" s="12" t="str">
        <f>'(FnCalls 1)'!F46</f>
        <v>MMM 2011</v>
      </c>
    </row>
    <row r="73" spans="1:9" ht="12.75" hidden="1" customHeight="1" outlineLevel="2" x14ac:dyDescent="0.2">
      <c r="A73" s="13" t="str">
        <f>Labels!B64</f>
        <v>Employee Count</v>
      </c>
      <c r="B73" s="14" t="str">
        <f>Labels!B213</f>
        <v>Sales</v>
      </c>
      <c r="C73" s="15" t="str">
        <f>Labels!B234</f>
        <v>Job Level 1</v>
      </c>
      <c r="D73" s="49">
        <f>IF('(Tables)'!C148&lt;0.001+1/12,0,IF(0=0,1,'(Tables)'!B172/0)*0)</f>
        <v>0</v>
      </c>
      <c r="E73" s="49">
        <f>IF('(Tables)'!D148&lt;0.001+1/12,0,IF('(Tables)'!B172=0,1,'(Tables)'!C172/'(Tables)'!B172)*D73)</f>
        <v>0</v>
      </c>
      <c r="F73" s="49">
        <f>IF('(Tables)'!E148&lt;0.001+1/12,0,IF('(Tables)'!C172=0,1,'(Tables)'!D172/'(Tables)'!C172)*E73)</f>
        <v>0</v>
      </c>
      <c r="G73" s="49">
        <f>IF('(Tables)'!F148&lt;0.001+1/12,0,IF('(Tables)'!D172=0,1,'(Tables)'!E172/'(Tables)'!D172)*F73)</f>
        <v>0</v>
      </c>
      <c r="H73" s="49">
        <f>IF('(Tables)'!G148&lt;0.001+1/12,0,IF('(Tables)'!E172=0,1,'(Tables)'!F172/'(Tables)'!E172)*G73)</f>
        <v>0</v>
      </c>
      <c r="I73" s="50">
        <f>IF('(Tables)'!H148&lt;0.001+1/12,0,IF('(Tables)'!F172=0,1,'(Tables)'!G172/'(Tables)'!F172)*H73)</f>
        <v>0</v>
      </c>
    </row>
    <row r="74" spans="1:9" ht="12.75" hidden="1" customHeight="1" outlineLevel="2" x14ac:dyDescent="0.2">
      <c r="A74" s="18"/>
      <c r="B74" s="19"/>
      <c r="C74" s="20" t="str">
        <f>Labels!B235</f>
        <v>Job Level 2</v>
      </c>
      <c r="D74" s="51">
        <f>IF('(Tables)'!C148&lt;0.001+1/12,0,IF(0=0,1,'(Tables)'!B172/0)*0)</f>
        <v>0</v>
      </c>
      <c r="E74" s="51">
        <f>IF('(Tables)'!D148&lt;0.001+1/12,0,IF('(Tables)'!B172=0,1,'(Tables)'!C172/'(Tables)'!B172)*D74)</f>
        <v>0</v>
      </c>
      <c r="F74" s="51">
        <f>IF('(Tables)'!E148&lt;0.001+1/12,0,IF('(Tables)'!C172=0,1,'(Tables)'!D172/'(Tables)'!C172)*E74)</f>
        <v>0</v>
      </c>
      <c r="G74" s="51">
        <f>IF('(Tables)'!F148&lt;0.001+1/12,0,IF('(Tables)'!D172=0,1,'(Tables)'!E172/'(Tables)'!D172)*F74)</f>
        <v>0</v>
      </c>
      <c r="H74" s="51">
        <f>IF('(Tables)'!G148&lt;0.001+1/12,0,IF('(Tables)'!E172=0,1,'(Tables)'!F172/'(Tables)'!E172)*G74)</f>
        <v>0</v>
      </c>
      <c r="I74" s="52">
        <f>IF('(Tables)'!H148&lt;0.001+1/12,0,IF('(Tables)'!F172=0,1,'(Tables)'!G172/'(Tables)'!F172)*H74)</f>
        <v>0</v>
      </c>
    </row>
    <row r="75" spans="1:9" ht="12.75" hidden="1" customHeight="1" outlineLevel="2" x14ac:dyDescent="0.2">
      <c r="A75" s="18"/>
      <c r="B75" s="19" t="str">
        <f>Labels!B214</f>
        <v>Marketing</v>
      </c>
      <c r="C75" s="20" t="str">
        <f>Labels!B234</f>
        <v>Job Level 1</v>
      </c>
      <c r="D75" s="51">
        <f>IF('(Tables)'!C148&lt;0.001+1/12,0,IF(0=0,1,'(Tables)'!B172/0)*0)</f>
        <v>0</v>
      </c>
      <c r="E75" s="51">
        <f>IF('(Tables)'!D148&lt;0.001+1/12,0,IF('(Tables)'!B172=0,1,'(Tables)'!C172/'(Tables)'!B172)*D75)</f>
        <v>0</v>
      </c>
      <c r="F75" s="51">
        <f>IF('(Tables)'!E148&lt;0.001+1/12,0,IF('(Tables)'!C172=0,1,'(Tables)'!D172/'(Tables)'!C172)*E75)</f>
        <v>0</v>
      </c>
      <c r="G75" s="51">
        <f>IF('(Tables)'!F148&lt;0.001+1/12,0,IF('(Tables)'!D172=0,1,'(Tables)'!E172/'(Tables)'!D172)*F75)</f>
        <v>0</v>
      </c>
      <c r="H75" s="51">
        <f>IF('(Tables)'!G148&lt;0.001+1/12,0,IF('(Tables)'!E172=0,1,'(Tables)'!F172/'(Tables)'!E172)*G75)</f>
        <v>0</v>
      </c>
      <c r="I75" s="52">
        <f>IF('(Tables)'!H148&lt;0.001+1/12,0,IF('(Tables)'!F172=0,1,'(Tables)'!G172/'(Tables)'!F172)*H75)</f>
        <v>0</v>
      </c>
    </row>
    <row r="76" spans="1:9" ht="12.75" hidden="1" customHeight="1" outlineLevel="2" x14ac:dyDescent="0.2">
      <c r="A76" s="25"/>
      <c r="B76" s="26"/>
      <c r="C76" s="27" t="str">
        <f>Labels!B235</f>
        <v>Job Level 2</v>
      </c>
      <c r="D76" s="53">
        <f>IF('(Tables)'!C148&lt;0.001+1/12,0,IF(0=0,1,'(Tables)'!B172/0)*0)</f>
        <v>0</v>
      </c>
      <c r="E76" s="53">
        <f>IF('(Tables)'!D148&lt;0.001+1/12,0,IF('(Tables)'!B172=0,1,'(Tables)'!C172/'(Tables)'!B172)*D76)</f>
        <v>0</v>
      </c>
      <c r="F76" s="53">
        <f>IF('(Tables)'!E148&lt;0.001+1/12,0,IF('(Tables)'!C172=0,1,'(Tables)'!D172/'(Tables)'!C172)*E76)</f>
        <v>0</v>
      </c>
      <c r="G76" s="53">
        <f>IF('(Tables)'!F148&lt;0.001+1/12,0,IF('(Tables)'!D172=0,1,'(Tables)'!E172/'(Tables)'!D172)*F76)</f>
        <v>0</v>
      </c>
      <c r="H76" s="53">
        <f>IF('(Tables)'!G148&lt;0.001+1/12,0,IF('(Tables)'!E172=0,1,'(Tables)'!F172/'(Tables)'!E172)*G76)</f>
        <v>0</v>
      </c>
      <c r="I76" s="54">
        <f>IF('(Tables)'!H148&lt;0.001+1/12,0,IF('(Tables)'!F172=0,1,'(Tables)'!G172/'(Tables)'!F172)*H76)</f>
        <v>0</v>
      </c>
    </row>
    <row r="77" spans="1:9" ht="12.75" hidden="1" customHeight="1" outlineLevel="2" x14ac:dyDescent="0.2">
      <c r="A77" s="319" t="str">
        <f>""</f>
        <v/>
      </c>
      <c r="B77" s="319"/>
      <c r="C77" s="319"/>
      <c r="D77" s="319"/>
      <c r="E77" s="319"/>
      <c r="F77" s="319"/>
      <c r="G77" s="319"/>
      <c r="H77" s="319"/>
    </row>
    <row r="78" spans="1:9" ht="12.75" hidden="1" customHeight="1" outlineLevel="2" collapsed="1" x14ac:dyDescent="0.2"/>
    <row r="79" spans="1:9" ht="12.75" hidden="1" customHeight="1" outlineLevel="1" collapsed="1" x14ac:dyDescent="0.2">
      <c r="A79" s="321" t="str">
        <f>"Employee Compensation"</f>
        <v>Employee Compensation</v>
      </c>
      <c r="B79" s="321"/>
      <c r="C79" s="321"/>
    </row>
    <row r="80" spans="1:9" ht="12.75" hidden="1" customHeight="1" outlineLevel="2" x14ac:dyDescent="0.2">
      <c r="D80" s="10" t="str">
        <f>Labels!B213</f>
        <v>Sales</v>
      </c>
      <c r="E80" s="12" t="str">
        <f>Labels!B214</f>
        <v>Marketing</v>
      </c>
    </row>
    <row r="81" spans="1:9" ht="12.75" hidden="1" customHeight="1" outlineLevel="2" x14ac:dyDescent="0.2">
      <c r="A81" s="13" t="str">
        <f>Labels!B171</f>
        <v>Initial Avg Wage/Yr</v>
      </c>
      <c r="B81" s="14" t="str">
        <f>Labels!B234</f>
        <v>Job Level 1</v>
      </c>
      <c r="C81" s="30"/>
      <c r="D81" s="55">
        <f>80000</f>
        <v>80000</v>
      </c>
      <c r="E81" s="56">
        <f>80000</f>
        <v>80000</v>
      </c>
    </row>
    <row r="82" spans="1:9" ht="12.75" hidden="1" customHeight="1" outlineLevel="2" x14ac:dyDescent="0.2">
      <c r="A82" s="25"/>
      <c r="B82" s="26" t="str">
        <f>Labels!B235</f>
        <v>Job Level 2</v>
      </c>
      <c r="C82" s="46"/>
      <c r="D82" s="57">
        <f>80000</f>
        <v>80000</v>
      </c>
      <c r="E82" s="58">
        <f>80000</f>
        <v>80000</v>
      </c>
    </row>
    <row r="83" spans="1:9" ht="12.75" hidden="1" customHeight="1" outlineLevel="2" x14ac:dyDescent="0.2"/>
    <row r="84" spans="1:9" ht="12.75" hidden="1" customHeight="1" outlineLevel="2" x14ac:dyDescent="0.2">
      <c r="D84" s="10" t="str">
        <f>'(FnCalls 1)'!F41</f>
        <v>MMM 2011</v>
      </c>
      <c r="E84" s="11" t="str">
        <f>'(FnCalls 1)'!F42</f>
        <v>MMM 2011</v>
      </c>
      <c r="F84" s="11" t="str">
        <f>'(FnCalls 1)'!F43</f>
        <v>MMM 2011</v>
      </c>
      <c r="G84" s="11" t="str">
        <f>'(FnCalls 1)'!F44</f>
        <v>MMM 2011</v>
      </c>
      <c r="H84" s="11" t="str">
        <f>'(FnCalls 1)'!F45</f>
        <v>MMM 2011</v>
      </c>
      <c r="I84" s="12" t="str">
        <f>'(FnCalls 1)'!F46</f>
        <v>MMM 2011</v>
      </c>
    </row>
    <row r="85" spans="1:9" ht="12.75" hidden="1" customHeight="1" outlineLevel="2" x14ac:dyDescent="0.2">
      <c r="A85" s="5" t="str">
        <f>Labels!B175</f>
        <v>Wage increase %</v>
      </c>
      <c r="B85" s="6"/>
      <c r="C85" s="7"/>
      <c r="D85" s="59">
        <f>0</f>
        <v>0</v>
      </c>
      <c r="E85" s="59">
        <f>D85</f>
        <v>0</v>
      </c>
      <c r="F85" s="59">
        <f>E85</f>
        <v>0</v>
      </c>
      <c r="G85" s="59">
        <f>F85</f>
        <v>0</v>
      </c>
      <c r="H85" s="59">
        <f>G85</f>
        <v>0</v>
      </c>
      <c r="I85" s="60">
        <f>H85</f>
        <v>0</v>
      </c>
    </row>
    <row r="86" spans="1:9" ht="12.75" hidden="1" customHeight="1" outlineLevel="2" x14ac:dyDescent="0.2">
      <c r="A86" s="5" t="str">
        <f>Labels!B174</f>
        <v>Wage Increase Yr?</v>
      </c>
      <c r="B86" s="6"/>
      <c r="C86" s="7"/>
      <c r="D86" s="9" t="b">
        <f>TRUE</f>
        <v>1</v>
      </c>
    </row>
    <row r="87" spans="1:9" ht="12.75" hidden="1" customHeight="1" outlineLevel="2" x14ac:dyDescent="0.2"/>
    <row r="88" spans="1:9" ht="12.75" hidden="1" customHeight="1" outlineLevel="2" x14ac:dyDescent="0.2">
      <c r="D88" s="10" t="str">
        <f>'(FnCalls 1)'!F41</f>
        <v>MMM 2011</v>
      </c>
      <c r="E88" s="11" t="str">
        <f>'(FnCalls 1)'!F42</f>
        <v>MMM 2011</v>
      </c>
      <c r="F88" s="11" t="str">
        <f>'(FnCalls 1)'!F43</f>
        <v>MMM 2011</v>
      </c>
      <c r="G88" s="11" t="str">
        <f>'(FnCalls 1)'!F44</f>
        <v>MMM 2011</v>
      </c>
      <c r="H88" s="11" t="str">
        <f>'(FnCalls 1)'!F45</f>
        <v>MMM 2011</v>
      </c>
      <c r="I88" s="12" t="str">
        <f>'(FnCalls 1)'!F46</f>
        <v>MMM 2011</v>
      </c>
    </row>
    <row r="89" spans="1:9" ht="12.75" hidden="1" customHeight="1" outlineLevel="2" x14ac:dyDescent="0.2">
      <c r="A89" s="13" t="str">
        <f>Labels!B62</f>
        <v>Employee Bonus %</v>
      </c>
      <c r="B89" s="14" t="str">
        <f>Labels!B213</f>
        <v>Sales</v>
      </c>
      <c r="C89" s="15" t="str">
        <f>Labels!B234</f>
        <v>Job Level 1</v>
      </c>
      <c r="D89" s="61">
        <f>0</f>
        <v>0</v>
      </c>
      <c r="E89" s="61">
        <f t="shared" ref="E89:I92" si="6">D89</f>
        <v>0</v>
      </c>
      <c r="F89" s="61">
        <f t="shared" si="6"/>
        <v>0</v>
      </c>
      <c r="G89" s="61">
        <f t="shared" si="6"/>
        <v>0</v>
      </c>
      <c r="H89" s="61">
        <f t="shared" si="6"/>
        <v>0</v>
      </c>
      <c r="I89" s="62">
        <f t="shared" si="6"/>
        <v>0</v>
      </c>
    </row>
    <row r="90" spans="1:9" ht="12.75" hidden="1" customHeight="1" outlineLevel="2" x14ac:dyDescent="0.2">
      <c r="A90" s="18"/>
      <c r="B90" s="19"/>
      <c r="C90" s="20" t="str">
        <f>Labels!B235</f>
        <v>Job Level 2</v>
      </c>
      <c r="D90" s="23">
        <f>0</f>
        <v>0</v>
      </c>
      <c r="E90" s="23">
        <f t="shared" si="6"/>
        <v>0</v>
      </c>
      <c r="F90" s="23">
        <f t="shared" si="6"/>
        <v>0</v>
      </c>
      <c r="G90" s="23">
        <f t="shared" si="6"/>
        <v>0</v>
      </c>
      <c r="H90" s="23">
        <f t="shared" si="6"/>
        <v>0</v>
      </c>
      <c r="I90" s="24">
        <f t="shared" si="6"/>
        <v>0</v>
      </c>
    </row>
    <row r="91" spans="1:9" ht="12.75" hidden="1" customHeight="1" outlineLevel="2" x14ac:dyDescent="0.2">
      <c r="A91" s="18"/>
      <c r="B91" s="19" t="str">
        <f>Labels!B214</f>
        <v>Marketing</v>
      </c>
      <c r="C91" s="20" t="str">
        <f>Labels!B234</f>
        <v>Job Level 1</v>
      </c>
      <c r="D91" s="23">
        <f>0</f>
        <v>0</v>
      </c>
      <c r="E91" s="23">
        <f t="shared" si="6"/>
        <v>0</v>
      </c>
      <c r="F91" s="23">
        <f t="shared" si="6"/>
        <v>0</v>
      </c>
      <c r="G91" s="23">
        <f t="shared" si="6"/>
        <v>0</v>
      </c>
      <c r="H91" s="23">
        <f t="shared" si="6"/>
        <v>0</v>
      </c>
      <c r="I91" s="24">
        <f t="shared" si="6"/>
        <v>0</v>
      </c>
    </row>
    <row r="92" spans="1:9" ht="12.75" hidden="1" customHeight="1" outlineLevel="2" x14ac:dyDescent="0.2">
      <c r="A92" s="25"/>
      <c r="B92" s="26"/>
      <c r="C92" s="27" t="str">
        <f>Labels!B235</f>
        <v>Job Level 2</v>
      </c>
      <c r="D92" s="28">
        <f>0</f>
        <v>0</v>
      </c>
      <c r="E92" s="28">
        <f t="shared" si="6"/>
        <v>0</v>
      </c>
      <c r="F92" s="28">
        <f t="shared" si="6"/>
        <v>0</v>
      </c>
      <c r="G92" s="28">
        <f t="shared" si="6"/>
        <v>0</v>
      </c>
      <c r="H92" s="28">
        <f t="shared" si="6"/>
        <v>0</v>
      </c>
      <c r="I92" s="29">
        <f t="shared" si="6"/>
        <v>0</v>
      </c>
    </row>
    <row r="93" spans="1:9" ht="12.75" hidden="1" customHeight="1" outlineLevel="2" x14ac:dyDescent="0.2"/>
    <row r="94" spans="1:9" ht="12.75" hidden="1" customHeight="1" outlineLevel="2" x14ac:dyDescent="0.2">
      <c r="A94" s="13" t="str">
        <f>Labels!B140</f>
        <v>Sales Commis Rate</v>
      </c>
      <c r="B94" s="63"/>
      <c r="C94" s="64"/>
      <c r="D94" s="65">
        <f>0</f>
        <v>0</v>
      </c>
      <c r="E94" s="65">
        <f t="shared" ref="E94:I95" si="7">D94</f>
        <v>0</v>
      </c>
      <c r="F94" s="65">
        <f t="shared" si="7"/>
        <v>0</v>
      </c>
      <c r="G94" s="65">
        <f t="shared" si="7"/>
        <v>0</v>
      </c>
      <c r="H94" s="65">
        <f t="shared" si="7"/>
        <v>0</v>
      </c>
      <c r="I94" s="66">
        <f t="shared" si="7"/>
        <v>0</v>
      </c>
    </row>
    <row r="95" spans="1:9" ht="12.75" hidden="1" customHeight="1" outlineLevel="2" x14ac:dyDescent="0.2">
      <c r="A95" s="25" t="str">
        <f>Labels!B141</f>
        <v>Commis Rev Share</v>
      </c>
      <c r="B95" s="42"/>
      <c r="C95" s="43"/>
      <c r="D95" s="67">
        <f>1</f>
        <v>1</v>
      </c>
      <c r="E95" s="67">
        <f t="shared" si="7"/>
        <v>1</v>
      </c>
      <c r="F95" s="67">
        <f t="shared" si="7"/>
        <v>1</v>
      </c>
      <c r="G95" s="67">
        <f t="shared" si="7"/>
        <v>1</v>
      </c>
      <c r="H95" s="67">
        <f t="shared" si="7"/>
        <v>1</v>
      </c>
      <c r="I95" s="68">
        <f t="shared" si="7"/>
        <v>1</v>
      </c>
    </row>
    <row r="96" spans="1:9" ht="12.75" hidden="1" customHeight="1" outlineLevel="2" x14ac:dyDescent="0.2"/>
    <row r="97" spans="1:9" ht="12.75" hidden="1" customHeight="1" outlineLevel="2" x14ac:dyDescent="0.2">
      <c r="A97" s="13" t="str">
        <f>Labels!B172</f>
        <v>Wage Benefits %</v>
      </c>
      <c r="B97" s="63"/>
      <c r="C97" s="64"/>
      <c r="D97" s="65">
        <f>0.15</f>
        <v>0.15</v>
      </c>
      <c r="E97" s="65">
        <f t="shared" ref="E97:I98" si="8">D97</f>
        <v>0.15</v>
      </c>
      <c r="F97" s="65">
        <f t="shared" si="8"/>
        <v>0.15</v>
      </c>
      <c r="G97" s="65">
        <f t="shared" si="8"/>
        <v>0.15</v>
      </c>
      <c r="H97" s="65">
        <f t="shared" si="8"/>
        <v>0.15</v>
      </c>
      <c r="I97" s="66">
        <f t="shared" si="8"/>
        <v>0.15</v>
      </c>
    </row>
    <row r="98" spans="1:9" ht="12.75" hidden="1" customHeight="1" outlineLevel="2" x14ac:dyDescent="0.2">
      <c r="A98" s="25" t="str">
        <f>Labels!B177</f>
        <v>Wage Tax %</v>
      </c>
      <c r="B98" s="42"/>
      <c r="C98" s="43"/>
      <c r="D98" s="67">
        <f>0.1</f>
        <v>0.1</v>
      </c>
      <c r="E98" s="67">
        <f t="shared" si="8"/>
        <v>0.1</v>
      </c>
      <c r="F98" s="67">
        <f t="shared" si="8"/>
        <v>0.1</v>
      </c>
      <c r="G98" s="67">
        <f t="shared" si="8"/>
        <v>0.1</v>
      </c>
      <c r="H98" s="67">
        <f t="shared" si="8"/>
        <v>0.1</v>
      </c>
      <c r="I98" s="68">
        <f t="shared" si="8"/>
        <v>0.1</v>
      </c>
    </row>
    <row r="99" spans="1:9" ht="12.75" hidden="1" customHeight="1" outlineLevel="2" x14ac:dyDescent="0.2"/>
    <row r="100" spans="1:9" ht="12.75" hidden="1" customHeight="1" outlineLevel="2" collapsed="1" x14ac:dyDescent="0.2"/>
    <row r="101" spans="1:9" ht="12.75" hidden="1" customHeight="1" outlineLevel="1" collapsed="1" x14ac:dyDescent="0.2"/>
    <row r="102" spans="1:9" ht="12.75" customHeight="1" collapsed="1" x14ac:dyDescent="0.2"/>
    <row r="103" spans="1:9" ht="12.75" customHeight="1" x14ac:dyDescent="0.2">
      <c r="A103" s="322" t="str">
        <f>"Other Operating Expense"</f>
        <v>Other Operating Expense</v>
      </c>
      <c r="B103" s="322"/>
    </row>
    <row r="104" spans="1:9" ht="12.75" hidden="1" customHeight="1" outlineLevel="1" x14ac:dyDescent="0.2">
      <c r="A104" s="322" t="str">
        <f>""</f>
        <v/>
      </c>
      <c r="B104" s="322"/>
    </row>
    <row r="105" spans="1:9" ht="12.75" hidden="1" customHeight="1" outlineLevel="1" x14ac:dyDescent="0.2">
      <c r="A105" s="3" t="str">
        <f>"Facilities Expense"</f>
        <v>Facilities Expense</v>
      </c>
    </row>
    <row r="106" spans="1:9" ht="12.75" hidden="1" customHeight="1" outlineLevel="2" x14ac:dyDescent="0.2">
      <c r="A106" s="3" t="str">
        <f>" "</f>
        <v xml:space="preserve"> </v>
      </c>
    </row>
    <row r="107" spans="1:9" ht="12.75" hidden="1" customHeight="1" outlineLevel="2" x14ac:dyDescent="0.2">
      <c r="D107" s="10" t="str">
        <f>'(FnCalls 1)'!F41</f>
        <v>MMM 2011</v>
      </c>
      <c r="E107" s="11" t="str">
        <f>'(FnCalls 1)'!F42</f>
        <v>MMM 2011</v>
      </c>
      <c r="F107" s="11" t="str">
        <f>'(FnCalls 1)'!F43</f>
        <v>MMM 2011</v>
      </c>
      <c r="G107" s="11" t="str">
        <f>'(FnCalls 1)'!F44</f>
        <v>MMM 2011</v>
      </c>
      <c r="H107" s="11" t="str">
        <f>'(FnCalls 1)'!F45</f>
        <v>MMM 2011</v>
      </c>
      <c r="I107" s="12" t="str">
        <f>'(FnCalls 1)'!F46</f>
        <v>MMM 2011</v>
      </c>
    </row>
    <row r="108" spans="1:9" ht="12.75" hidden="1" customHeight="1" outlineLevel="2" x14ac:dyDescent="0.2">
      <c r="A108" s="13" t="str">
        <f>Labels!B108</f>
        <v>Space (Sqft/Person)</v>
      </c>
      <c r="B108" s="63"/>
      <c r="C108" s="64"/>
      <c r="D108" s="69">
        <f>0</f>
        <v>0</v>
      </c>
      <c r="E108" s="69">
        <f t="shared" ref="E108:I112" si="9">D108</f>
        <v>0</v>
      </c>
      <c r="F108" s="69">
        <f t="shared" si="9"/>
        <v>0</v>
      </c>
      <c r="G108" s="69">
        <f t="shared" si="9"/>
        <v>0</v>
      </c>
      <c r="H108" s="69">
        <f t="shared" si="9"/>
        <v>0</v>
      </c>
      <c r="I108" s="70">
        <f t="shared" si="9"/>
        <v>0</v>
      </c>
    </row>
    <row r="109" spans="1:9" ht="12.75" hidden="1" customHeight="1" outlineLevel="2" x14ac:dyDescent="0.2">
      <c r="A109" s="18" t="str">
        <f>Labels!B107</f>
        <v>Rent ($/sqft/Yr)</v>
      </c>
      <c r="B109" s="3"/>
      <c r="C109" s="71"/>
      <c r="D109" s="72">
        <f>0</f>
        <v>0</v>
      </c>
      <c r="E109" s="72">
        <f t="shared" si="9"/>
        <v>0</v>
      </c>
      <c r="F109" s="72">
        <f t="shared" si="9"/>
        <v>0</v>
      </c>
      <c r="G109" s="72">
        <f t="shared" si="9"/>
        <v>0</v>
      </c>
      <c r="H109" s="72">
        <f t="shared" si="9"/>
        <v>0</v>
      </c>
      <c r="I109" s="73">
        <f t="shared" si="9"/>
        <v>0</v>
      </c>
    </row>
    <row r="110" spans="1:9" ht="12.75" hidden="1" customHeight="1" outlineLevel="2" x14ac:dyDescent="0.2">
      <c r="A110" s="18" t="str">
        <f>Labels!B109</f>
        <v>Utilities ($/sqft/Yr)</v>
      </c>
      <c r="B110" s="3"/>
      <c r="C110" s="71"/>
      <c r="D110" s="74">
        <f>0</f>
        <v>0</v>
      </c>
      <c r="E110" s="74">
        <f t="shared" si="9"/>
        <v>0</v>
      </c>
      <c r="F110" s="74">
        <f t="shared" si="9"/>
        <v>0</v>
      </c>
      <c r="G110" s="74">
        <f t="shared" si="9"/>
        <v>0</v>
      </c>
      <c r="H110" s="74">
        <f t="shared" si="9"/>
        <v>0</v>
      </c>
      <c r="I110" s="75">
        <f t="shared" si="9"/>
        <v>0</v>
      </c>
    </row>
    <row r="111" spans="1:9" ht="12.75" hidden="1" customHeight="1" outlineLevel="2" x14ac:dyDescent="0.2">
      <c r="A111" s="18" t="str">
        <f>Labels!B106</f>
        <v>Maint ($/sqft/Yr)</v>
      </c>
      <c r="B111" s="3"/>
      <c r="C111" s="71"/>
      <c r="D111" s="74">
        <f>0</f>
        <v>0</v>
      </c>
      <c r="E111" s="74">
        <f t="shared" si="9"/>
        <v>0</v>
      </c>
      <c r="F111" s="74">
        <f t="shared" si="9"/>
        <v>0</v>
      </c>
      <c r="G111" s="74">
        <f t="shared" si="9"/>
        <v>0</v>
      </c>
      <c r="H111" s="74">
        <f t="shared" si="9"/>
        <v>0</v>
      </c>
      <c r="I111" s="75">
        <f t="shared" si="9"/>
        <v>0</v>
      </c>
    </row>
    <row r="112" spans="1:9" ht="12.75" hidden="1" customHeight="1" outlineLevel="2" x14ac:dyDescent="0.2">
      <c r="A112" s="25" t="str">
        <f>Labels!B68</f>
        <v>Other Facil Exp/Yr</v>
      </c>
      <c r="B112" s="42"/>
      <c r="C112" s="43"/>
      <c r="D112" s="76">
        <f>0</f>
        <v>0</v>
      </c>
      <c r="E112" s="76">
        <f t="shared" si="9"/>
        <v>0</v>
      </c>
      <c r="F112" s="76">
        <f t="shared" si="9"/>
        <v>0</v>
      </c>
      <c r="G112" s="76">
        <f t="shared" si="9"/>
        <v>0</v>
      </c>
      <c r="H112" s="76">
        <f t="shared" si="9"/>
        <v>0</v>
      </c>
      <c r="I112" s="77">
        <f t="shared" si="9"/>
        <v>0</v>
      </c>
    </row>
    <row r="113" spans="1:9" ht="12.75" hidden="1" customHeight="1" outlineLevel="2" collapsed="1" x14ac:dyDescent="0.2"/>
    <row r="114" spans="1:9" ht="12.75" hidden="1" customHeight="1" outlineLevel="1" collapsed="1" x14ac:dyDescent="0.2">
      <c r="A114" s="321" t="str">
        <f>"General &amp; Admin Expense"</f>
        <v>General &amp; Admin Expense</v>
      </c>
      <c r="B114" s="321"/>
    </row>
    <row r="115" spans="1:9" ht="12.75" hidden="1" customHeight="1" outlineLevel="2" x14ac:dyDescent="0.2">
      <c r="A115" s="321" t="str">
        <f>" "</f>
        <v xml:space="preserve"> </v>
      </c>
      <c r="B115" s="321"/>
    </row>
    <row r="116" spans="1:9" ht="12.75" hidden="1" customHeight="1" outlineLevel="2" x14ac:dyDescent="0.2">
      <c r="D116" s="10" t="str">
        <f>'(FnCalls 1)'!F41</f>
        <v>MMM 2011</v>
      </c>
      <c r="E116" s="11" t="str">
        <f>'(FnCalls 1)'!F42</f>
        <v>MMM 2011</v>
      </c>
      <c r="F116" s="11" t="str">
        <f>'(FnCalls 1)'!F43</f>
        <v>MMM 2011</v>
      </c>
      <c r="G116" s="11" t="str">
        <f>'(FnCalls 1)'!F44</f>
        <v>MMM 2011</v>
      </c>
      <c r="H116" s="11" t="str">
        <f>'(FnCalls 1)'!F45</f>
        <v>MMM 2011</v>
      </c>
      <c r="I116" s="12" t="str">
        <f>'(FnCalls 1)'!F46</f>
        <v>MMM 2011</v>
      </c>
    </row>
    <row r="117" spans="1:9" ht="12.75" hidden="1" customHeight="1" outlineLevel="2" x14ac:dyDescent="0.2">
      <c r="A117" s="13" t="str">
        <f>Labels!B73</f>
        <v>Gen &amp; Admin Exp</v>
      </c>
      <c r="B117" s="14" t="str">
        <f>Labels!B213</f>
        <v>Sales</v>
      </c>
      <c r="C117" s="15" t="str">
        <f>Labels!B231</f>
        <v>IT Expense</v>
      </c>
      <c r="D117" s="78">
        <f>0</f>
        <v>0</v>
      </c>
      <c r="E117" s="78">
        <f>D117*IF(IncStmt!B6=0,1,IncStmt!C6/IncStmt!B6)</f>
        <v>0</v>
      </c>
      <c r="F117" s="78">
        <f>E117*IF(IncStmt!C6=0,1,IncStmt!D6/IncStmt!C6)</f>
        <v>0</v>
      </c>
      <c r="G117" s="78">
        <f>F117*IF(IncStmt!D6=0,1,IncStmt!E6/IncStmt!D6)</f>
        <v>0</v>
      </c>
      <c r="H117" s="78">
        <f>G117*IF(IncStmt!E6=0,1,IncStmt!F6/IncStmt!E6)</f>
        <v>0</v>
      </c>
      <c r="I117" s="79">
        <f>H117*IF(IncStmt!F6=0,1,IncStmt!G6/IncStmt!F6)</f>
        <v>0</v>
      </c>
    </row>
    <row r="118" spans="1:9" ht="12.75" hidden="1" customHeight="1" outlineLevel="2" x14ac:dyDescent="0.2">
      <c r="A118" s="25"/>
      <c r="B118" s="26" t="str">
        <f>Labels!B214</f>
        <v>Marketing</v>
      </c>
      <c r="C118" s="27" t="str">
        <f>Labels!B231</f>
        <v>IT Expense</v>
      </c>
      <c r="D118" s="80">
        <f>0</f>
        <v>0</v>
      </c>
      <c r="E118" s="80">
        <f>D118*IF(IncStmt!B6=0,1,IncStmt!C6/IncStmt!B6)</f>
        <v>0</v>
      </c>
      <c r="F118" s="80">
        <f>E118*IF(IncStmt!C6=0,1,IncStmt!D6/IncStmt!C6)</f>
        <v>0</v>
      </c>
      <c r="G118" s="80">
        <f>F118*IF(IncStmt!D6=0,1,IncStmt!E6/IncStmt!D6)</f>
        <v>0</v>
      </c>
      <c r="H118" s="80">
        <f>G118*IF(IncStmt!E6=0,1,IncStmt!F6/IncStmt!E6)</f>
        <v>0</v>
      </c>
      <c r="I118" s="81">
        <f>H118*IF(IncStmt!F6=0,1,IncStmt!G6/IncStmt!F6)</f>
        <v>0</v>
      </c>
    </row>
    <row r="119" spans="1:9" ht="12.75" hidden="1" customHeight="1" outlineLevel="2" collapsed="1" x14ac:dyDescent="0.2"/>
    <row r="120" spans="1:9" ht="12.75" hidden="1" customHeight="1" outlineLevel="1" collapsed="1" x14ac:dyDescent="0.2">
      <c r="A120" s="321" t="str">
        <f>"Miscellaneous Operating Expenses"</f>
        <v>Miscellaneous Operating Expenses</v>
      </c>
      <c r="B120" s="321"/>
      <c r="C120" s="321"/>
    </row>
    <row r="121" spans="1:9" ht="12.75" hidden="1" customHeight="1" outlineLevel="2" x14ac:dyDescent="0.2">
      <c r="A121" s="321" t="str">
        <f>" "</f>
        <v xml:space="preserve"> </v>
      </c>
      <c r="B121" s="321"/>
      <c r="C121" s="321"/>
    </row>
    <row r="122" spans="1:9" ht="12.75" hidden="1" customHeight="1" outlineLevel="2" x14ac:dyDescent="0.2">
      <c r="D122" s="10" t="str">
        <f>'(FnCalls 1)'!F41</f>
        <v>MMM 2011</v>
      </c>
      <c r="E122" s="11" t="str">
        <f>'(FnCalls 1)'!F42</f>
        <v>MMM 2011</v>
      </c>
      <c r="F122" s="11" t="str">
        <f>'(FnCalls 1)'!F43</f>
        <v>MMM 2011</v>
      </c>
      <c r="G122" s="11" t="str">
        <f>'(FnCalls 1)'!F44</f>
        <v>MMM 2011</v>
      </c>
      <c r="H122" s="11" t="str">
        <f>'(FnCalls 1)'!F45</f>
        <v>MMM 2011</v>
      </c>
      <c r="I122" s="12" t="str">
        <f>'(FnCalls 1)'!F46</f>
        <v>MMM 2011</v>
      </c>
    </row>
    <row r="123" spans="1:9" ht="12.75" hidden="1" customHeight="1" outlineLevel="2" x14ac:dyDescent="0.2">
      <c r="A123" s="13" t="str">
        <f>Labels!B115</f>
        <v>Per Employee Exp/Yr</v>
      </c>
      <c r="B123" s="14" t="str">
        <f>Labels!B213</f>
        <v>Sales</v>
      </c>
      <c r="C123" s="15" t="str">
        <f>Labels!B222</f>
        <v>Supplies</v>
      </c>
      <c r="D123" s="82">
        <f>0</f>
        <v>0</v>
      </c>
      <c r="E123" s="82">
        <f t="shared" ref="E123:I128" si="10">D123</f>
        <v>0</v>
      </c>
      <c r="F123" s="82">
        <f t="shared" si="10"/>
        <v>0</v>
      </c>
      <c r="G123" s="82">
        <f t="shared" si="10"/>
        <v>0</v>
      </c>
      <c r="H123" s="82">
        <f t="shared" si="10"/>
        <v>0</v>
      </c>
      <c r="I123" s="83">
        <f t="shared" si="10"/>
        <v>0</v>
      </c>
    </row>
    <row r="124" spans="1:9" ht="12.75" hidden="1" customHeight="1" outlineLevel="2" x14ac:dyDescent="0.2">
      <c r="A124" s="18"/>
      <c r="B124" s="19"/>
      <c r="C124" s="20" t="str">
        <f>Labels!B223</f>
        <v>Travel Entertainment</v>
      </c>
      <c r="D124" s="84">
        <f>0</f>
        <v>0</v>
      </c>
      <c r="E124" s="84">
        <f t="shared" si="10"/>
        <v>0</v>
      </c>
      <c r="F124" s="84">
        <f t="shared" si="10"/>
        <v>0</v>
      </c>
      <c r="G124" s="84">
        <f t="shared" si="10"/>
        <v>0</v>
      </c>
      <c r="H124" s="84">
        <f t="shared" si="10"/>
        <v>0</v>
      </c>
      <c r="I124" s="85">
        <f t="shared" si="10"/>
        <v>0</v>
      </c>
    </row>
    <row r="125" spans="1:9" ht="12.75" hidden="1" customHeight="1" outlineLevel="2" x14ac:dyDescent="0.2">
      <c r="A125" s="18"/>
      <c r="B125" s="19"/>
      <c r="C125" s="20" t="str">
        <f>Labels!B224</f>
        <v>Other</v>
      </c>
      <c r="D125" s="84">
        <f>0</f>
        <v>0</v>
      </c>
      <c r="E125" s="84">
        <f t="shared" si="10"/>
        <v>0</v>
      </c>
      <c r="F125" s="84">
        <f t="shared" si="10"/>
        <v>0</v>
      </c>
      <c r="G125" s="84">
        <f t="shared" si="10"/>
        <v>0</v>
      </c>
      <c r="H125" s="84">
        <f t="shared" si="10"/>
        <v>0</v>
      </c>
      <c r="I125" s="85">
        <f t="shared" si="10"/>
        <v>0</v>
      </c>
    </row>
    <row r="126" spans="1:9" ht="12.75" hidden="1" customHeight="1" outlineLevel="2" x14ac:dyDescent="0.2">
      <c r="A126" s="18"/>
      <c r="B126" s="19" t="str">
        <f>Labels!B214</f>
        <v>Marketing</v>
      </c>
      <c r="C126" s="20" t="str">
        <f>Labels!B222</f>
        <v>Supplies</v>
      </c>
      <c r="D126" s="84">
        <f>0</f>
        <v>0</v>
      </c>
      <c r="E126" s="84">
        <f t="shared" si="10"/>
        <v>0</v>
      </c>
      <c r="F126" s="84">
        <f t="shared" si="10"/>
        <v>0</v>
      </c>
      <c r="G126" s="84">
        <f t="shared" si="10"/>
        <v>0</v>
      </c>
      <c r="H126" s="84">
        <f t="shared" si="10"/>
        <v>0</v>
      </c>
      <c r="I126" s="85">
        <f t="shared" si="10"/>
        <v>0</v>
      </c>
    </row>
    <row r="127" spans="1:9" ht="12.75" hidden="1" customHeight="1" outlineLevel="2" x14ac:dyDescent="0.2">
      <c r="A127" s="18"/>
      <c r="B127" s="19"/>
      <c r="C127" s="20" t="str">
        <f>Labels!B223</f>
        <v>Travel Entertainment</v>
      </c>
      <c r="D127" s="84">
        <f>0</f>
        <v>0</v>
      </c>
      <c r="E127" s="84">
        <f t="shared" si="10"/>
        <v>0</v>
      </c>
      <c r="F127" s="84">
        <f t="shared" si="10"/>
        <v>0</v>
      </c>
      <c r="G127" s="84">
        <f t="shared" si="10"/>
        <v>0</v>
      </c>
      <c r="H127" s="84">
        <f t="shared" si="10"/>
        <v>0</v>
      </c>
      <c r="I127" s="85">
        <f t="shared" si="10"/>
        <v>0</v>
      </c>
    </row>
    <row r="128" spans="1:9" ht="12.75" hidden="1" customHeight="1" outlineLevel="2" x14ac:dyDescent="0.2">
      <c r="A128" s="25"/>
      <c r="B128" s="26"/>
      <c r="C128" s="27" t="str">
        <f>Labels!B224</f>
        <v>Other</v>
      </c>
      <c r="D128" s="86">
        <f>0</f>
        <v>0</v>
      </c>
      <c r="E128" s="86">
        <f t="shared" si="10"/>
        <v>0</v>
      </c>
      <c r="F128" s="86">
        <f t="shared" si="10"/>
        <v>0</v>
      </c>
      <c r="G128" s="86">
        <f t="shared" si="10"/>
        <v>0</v>
      </c>
      <c r="H128" s="86">
        <f t="shared" si="10"/>
        <v>0</v>
      </c>
      <c r="I128" s="87">
        <f t="shared" si="10"/>
        <v>0</v>
      </c>
    </row>
    <row r="129" spans="1:9" ht="12.75" hidden="1" customHeight="1" outlineLevel="2" collapsed="1" x14ac:dyDescent="0.2"/>
    <row r="130" spans="1:9" ht="12.75" hidden="1" customHeight="1" outlineLevel="1" collapsed="1" x14ac:dyDescent="0.2"/>
    <row r="131" spans="1:9" ht="12.75" customHeight="1" collapsed="1" x14ac:dyDescent="0.2"/>
    <row r="132" spans="1:9" ht="12.75" customHeight="1" x14ac:dyDescent="0.2">
      <c r="A132" s="322" t="str">
        <f>"Financial and Tax Expense"</f>
        <v>Financial and Tax Expense</v>
      </c>
      <c r="B132" s="322"/>
    </row>
    <row r="133" spans="1:9" ht="12.75" hidden="1" customHeight="1" outlineLevel="1" x14ac:dyDescent="0.2">
      <c r="A133" s="322" t="str">
        <f>""</f>
        <v/>
      </c>
      <c r="B133" s="322"/>
    </row>
    <row r="134" spans="1:9" ht="12.75" hidden="1" customHeight="1" outlineLevel="1" x14ac:dyDescent="0.2">
      <c r="A134" s="1" t="str">
        <f>""</f>
        <v/>
      </c>
    </row>
    <row r="135" spans="1:9" ht="12.75" hidden="1" customHeight="1" outlineLevel="1" x14ac:dyDescent="0.2">
      <c r="A135" s="321" t="str">
        <f>"Interest Rates"</f>
        <v>Interest Rates</v>
      </c>
      <c r="B135" s="321"/>
    </row>
    <row r="136" spans="1:9" ht="12.75" hidden="1" customHeight="1" outlineLevel="1" x14ac:dyDescent="0.2">
      <c r="D136" s="10" t="str">
        <f>'(FnCalls 1)'!F41</f>
        <v>MMM 2011</v>
      </c>
      <c r="E136" s="11" t="str">
        <f>'(FnCalls 1)'!F42</f>
        <v>MMM 2011</v>
      </c>
      <c r="F136" s="11" t="str">
        <f>'(FnCalls 1)'!F43</f>
        <v>MMM 2011</v>
      </c>
      <c r="G136" s="11" t="str">
        <f>'(FnCalls 1)'!F44</f>
        <v>MMM 2011</v>
      </c>
      <c r="H136" s="11" t="str">
        <f>'(FnCalls 1)'!F45</f>
        <v>MMM 2011</v>
      </c>
      <c r="I136" s="12" t="str">
        <f>'(FnCalls 1)'!F46</f>
        <v>MMM 2011</v>
      </c>
    </row>
    <row r="137" spans="1:9" ht="12.75" hidden="1" customHeight="1" outlineLevel="1" x14ac:dyDescent="0.2">
      <c r="A137" s="13" t="str">
        <f>Labels!B84</f>
        <v>Short Interest %/Yr</v>
      </c>
      <c r="B137" s="63"/>
      <c r="C137" s="64"/>
      <c r="D137" s="65">
        <f>0</f>
        <v>0</v>
      </c>
      <c r="E137" s="65">
        <f t="shared" ref="E137:I140" si="11">D137</f>
        <v>0</v>
      </c>
      <c r="F137" s="65">
        <f t="shared" si="11"/>
        <v>0</v>
      </c>
      <c r="G137" s="65">
        <f t="shared" si="11"/>
        <v>0</v>
      </c>
      <c r="H137" s="65">
        <f t="shared" si="11"/>
        <v>0</v>
      </c>
      <c r="I137" s="66">
        <f t="shared" si="11"/>
        <v>0</v>
      </c>
    </row>
    <row r="138" spans="1:9" ht="12.75" hidden="1" customHeight="1" outlineLevel="1" x14ac:dyDescent="0.2">
      <c r="A138" s="18" t="str">
        <f>Labels!B83</f>
        <v>Long Interest %/Yr</v>
      </c>
      <c r="B138" s="3"/>
      <c r="C138" s="71"/>
      <c r="D138" s="88">
        <f>0</f>
        <v>0</v>
      </c>
      <c r="E138" s="88">
        <f t="shared" si="11"/>
        <v>0</v>
      </c>
      <c r="F138" s="88">
        <f t="shared" si="11"/>
        <v>0</v>
      </c>
      <c r="G138" s="88">
        <f t="shared" si="11"/>
        <v>0</v>
      </c>
      <c r="H138" s="88">
        <f t="shared" si="11"/>
        <v>0</v>
      </c>
      <c r="I138" s="89">
        <f t="shared" si="11"/>
        <v>0</v>
      </c>
    </row>
    <row r="139" spans="1:9" ht="12.75" hidden="1" customHeight="1" outlineLevel="1" x14ac:dyDescent="0.2">
      <c r="A139" s="18" t="str">
        <f>Labels!B82</f>
        <v>Interest Earned %/Yr</v>
      </c>
      <c r="B139" s="3"/>
      <c r="C139" s="71"/>
      <c r="D139" s="88">
        <f>0</f>
        <v>0</v>
      </c>
      <c r="E139" s="88">
        <f t="shared" si="11"/>
        <v>0</v>
      </c>
      <c r="F139" s="88">
        <f t="shared" si="11"/>
        <v>0</v>
      </c>
      <c r="G139" s="88">
        <f t="shared" si="11"/>
        <v>0</v>
      </c>
      <c r="H139" s="88">
        <f t="shared" si="11"/>
        <v>0</v>
      </c>
      <c r="I139" s="89">
        <f t="shared" si="11"/>
        <v>0</v>
      </c>
    </row>
    <row r="140" spans="1:9" ht="12.75" hidden="1" customHeight="1" outlineLevel="1" x14ac:dyDescent="0.2">
      <c r="A140" s="25" t="str">
        <f>Labels!B16</f>
        <v>Bad Debt %</v>
      </c>
      <c r="B140" s="42"/>
      <c r="C140" s="43"/>
      <c r="D140" s="67">
        <f>0</f>
        <v>0</v>
      </c>
      <c r="E140" s="67">
        <f t="shared" si="11"/>
        <v>0</v>
      </c>
      <c r="F140" s="67">
        <f t="shared" si="11"/>
        <v>0</v>
      </c>
      <c r="G140" s="67">
        <f t="shared" si="11"/>
        <v>0</v>
      </c>
      <c r="H140" s="67">
        <f t="shared" si="11"/>
        <v>0</v>
      </c>
      <c r="I140" s="68">
        <f t="shared" si="11"/>
        <v>0</v>
      </c>
    </row>
    <row r="141" spans="1:9" ht="12.75" hidden="1" customHeight="1" outlineLevel="1" x14ac:dyDescent="0.2"/>
    <row r="142" spans="1:9" ht="12.75" hidden="1" customHeight="1" outlineLevel="1" x14ac:dyDescent="0.2">
      <c r="A142" s="3" t="str">
        <f>"Tax Input Data"</f>
        <v>Tax Input Data</v>
      </c>
    </row>
    <row r="143" spans="1:9" ht="12.75" hidden="1" customHeight="1" outlineLevel="1" x14ac:dyDescent="0.2">
      <c r="A143" s="3" t="str">
        <f>""</f>
        <v/>
      </c>
    </row>
    <row r="144" spans="1:9" ht="12.75" hidden="1" customHeight="1" outlineLevel="1" x14ac:dyDescent="0.2">
      <c r="A144" s="5" t="str">
        <f>Labels!B79</f>
        <v>Income Tax Rate</v>
      </c>
      <c r="B144" s="6"/>
      <c r="C144" s="7"/>
      <c r="D144" s="59">
        <f>0</f>
        <v>0</v>
      </c>
      <c r="E144" s="59">
        <f>D144</f>
        <v>0</v>
      </c>
      <c r="F144" s="59">
        <f>E144</f>
        <v>0</v>
      </c>
      <c r="G144" s="59">
        <f>F144</f>
        <v>0</v>
      </c>
      <c r="H144" s="59">
        <f>G144</f>
        <v>0</v>
      </c>
      <c r="I144" s="60">
        <f>H144</f>
        <v>0</v>
      </c>
    </row>
    <row r="145" spans="1:9" ht="12.75" hidden="1" customHeight="1" outlineLevel="1" x14ac:dyDescent="0.2"/>
    <row r="146" spans="1:9" ht="12.75" hidden="1" customHeight="1" outlineLevel="1" collapsed="1" x14ac:dyDescent="0.2"/>
    <row r="147" spans="1:9" ht="12.75" customHeight="1" collapsed="1" x14ac:dyDescent="0.2"/>
    <row r="148" spans="1:9" ht="12.75" customHeight="1" x14ac:dyDescent="0.2">
      <c r="A148" s="2" t="str">
        <f>"Assets"</f>
        <v>Assets</v>
      </c>
    </row>
    <row r="149" spans="1:9" ht="12.75" hidden="1" customHeight="1" outlineLevel="1" x14ac:dyDescent="0.2">
      <c r="A149" s="2" t="str">
        <f>""</f>
        <v/>
      </c>
    </row>
    <row r="150" spans="1:9" ht="12.75" hidden="1" customHeight="1" outlineLevel="1" x14ac:dyDescent="0.2">
      <c r="A150" s="3" t="str">
        <f>"Short Term Assets"</f>
        <v>Short Term Assets</v>
      </c>
    </row>
    <row r="151" spans="1:9" ht="12.75" hidden="1" customHeight="1" outlineLevel="2" x14ac:dyDescent="0.2">
      <c r="A151" s="3" t="str">
        <f>" "</f>
        <v xml:space="preserve"> </v>
      </c>
    </row>
    <row r="152" spans="1:9" ht="12.75" hidden="1" customHeight="1" outlineLevel="2" x14ac:dyDescent="0.2">
      <c r="A152" s="3" t="str">
        <f>"Cash"</f>
        <v>Cash</v>
      </c>
    </row>
    <row r="153" spans="1:9" ht="12.75" hidden="1" customHeight="1" outlineLevel="3" x14ac:dyDescent="0.2">
      <c r="A153" s="3" t="str">
        <f>""</f>
        <v/>
      </c>
    </row>
    <row r="154" spans="1:9" ht="12.75" hidden="1" customHeight="1" outlineLevel="3" x14ac:dyDescent="0.2">
      <c r="A154" s="13" t="str">
        <f>Labels!B24</f>
        <v>Initial Cash</v>
      </c>
      <c r="B154" s="63"/>
      <c r="C154" s="64"/>
      <c r="D154" s="90"/>
    </row>
    <row r="155" spans="1:9" ht="12.75" hidden="1" customHeight="1" outlineLevel="3" x14ac:dyDescent="0.2">
      <c r="A155" s="5"/>
      <c r="B155" s="6"/>
      <c r="C155" s="7"/>
      <c r="D155" s="91"/>
    </row>
    <row r="156" spans="1:9" ht="12.75" hidden="1" customHeight="1" outlineLevel="3" x14ac:dyDescent="0.2">
      <c r="D156" s="10" t="str">
        <f>'(FnCalls 1)'!F41</f>
        <v>MMM 2011</v>
      </c>
      <c r="E156" s="11" t="str">
        <f>'(FnCalls 1)'!F42</f>
        <v>MMM 2011</v>
      </c>
      <c r="F156" s="11" t="str">
        <f>'(FnCalls 1)'!F43</f>
        <v>MMM 2011</v>
      </c>
      <c r="G156" s="11" t="str">
        <f>'(FnCalls 1)'!F44</f>
        <v>MMM 2011</v>
      </c>
      <c r="H156" s="11" t="str">
        <f>'(FnCalls 1)'!F45</f>
        <v>MMM 2011</v>
      </c>
      <c r="I156" s="12" t="str">
        <f>'(FnCalls 1)'!F46</f>
        <v>MMM 2011</v>
      </c>
    </row>
    <row r="157" spans="1:9" ht="12.75" hidden="1" customHeight="1" outlineLevel="3" x14ac:dyDescent="0.2">
      <c r="A157" s="5" t="str">
        <f>Labels!B28</f>
        <v>Cash Target Days</v>
      </c>
      <c r="B157" s="6"/>
      <c r="C157" s="7"/>
      <c r="D157" s="92">
        <f>30</f>
        <v>30</v>
      </c>
      <c r="E157" s="92">
        <f>D157</f>
        <v>30</v>
      </c>
      <c r="F157" s="92">
        <f>E157</f>
        <v>30</v>
      </c>
      <c r="G157" s="92">
        <f>F157</f>
        <v>30</v>
      </c>
      <c r="H157" s="92">
        <f>G157</f>
        <v>30</v>
      </c>
      <c r="I157" s="93">
        <f>H157</f>
        <v>30</v>
      </c>
    </row>
    <row r="158" spans="1:9" ht="12.75" hidden="1" customHeight="1" outlineLevel="3" collapsed="1" x14ac:dyDescent="0.2"/>
    <row r="159" spans="1:9" ht="12.75" hidden="1" customHeight="1" outlineLevel="2" collapsed="1" x14ac:dyDescent="0.2">
      <c r="A159" s="3" t="str">
        <f>"Inventory"</f>
        <v>Inventory</v>
      </c>
    </row>
    <row r="160" spans="1:9" ht="12.75" hidden="1" customHeight="1" outlineLevel="3" x14ac:dyDescent="0.2">
      <c r="A160" s="3" t="str">
        <f>""</f>
        <v/>
      </c>
    </row>
    <row r="161" spans="1:9" ht="12.75" hidden="1" customHeight="1" outlineLevel="3" x14ac:dyDescent="0.2">
      <c r="D161" s="94" t="str">
        <f>Labels!B94</f>
        <v>Initial Raw Matl Units</v>
      </c>
    </row>
    <row r="162" spans="1:9" ht="12.75" hidden="1" customHeight="1" outlineLevel="3" x14ac:dyDescent="0.2">
      <c r="A162" s="5"/>
      <c r="B162" s="6"/>
      <c r="C162" s="7"/>
      <c r="D162" s="95"/>
    </row>
    <row r="163" spans="1:9" ht="12.75" hidden="1" customHeight="1" outlineLevel="3" x14ac:dyDescent="0.2"/>
    <row r="164" spans="1:9" ht="12.75" hidden="1" customHeight="1" outlineLevel="3" x14ac:dyDescent="0.2">
      <c r="D164" s="10" t="str">
        <f>Labels!B86</f>
        <v>Initial FG Inventory</v>
      </c>
      <c r="E164" s="12" t="str">
        <f>Labels!B90</f>
        <v>Initial FG Inventory U</v>
      </c>
    </row>
    <row r="165" spans="1:9" ht="12.75" hidden="1" customHeight="1" outlineLevel="3" x14ac:dyDescent="0.2">
      <c r="A165" s="13" t="str">
        <f>Labels!B255</f>
        <v>Product 1</v>
      </c>
      <c r="B165" s="63"/>
      <c r="C165" s="64"/>
      <c r="D165" s="96">
        <f>0/2</f>
        <v>0</v>
      </c>
      <c r="E165" s="97">
        <f>0/2</f>
        <v>0</v>
      </c>
    </row>
    <row r="166" spans="1:9" ht="12.75" hidden="1" customHeight="1" outlineLevel="3" x14ac:dyDescent="0.2">
      <c r="A166" s="25" t="str">
        <f>Labels!B256</f>
        <v>Product 2</v>
      </c>
      <c r="B166" s="42"/>
      <c r="C166" s="43"/>
      <c r="D166" s="98">
        <f>0/2</f>
        <v>0</v>
      </c>
      <c r="E166" s="99">
        <f>0/2</f>
        <v>0</v>
      </c>
    </row>
    <row r="167" spans="1:9" ht="12.75" hidden="1" customHeight="1" outlineLevel="3" x14ac:dyDescent="0.2"/>
    <row r="168" spans="1:9" ht="12.75" hidden="1" customHeight="1" outlineLevel="3" x14ac:dyDescent="0.2">
      <c r="D168" s="10" t="str">
        <f>'(FnCalls 1)'!F41</f>
        <v>MMM 2011</v>
      </c>
      <c r="E168" s="11" t="str">
        <f>'(FnCalls 1)'!F42</f>
        <v>MMM 2011</v>
      </c>
      <c r="F168" s="11" t="str">
        <f>'(FnCalls 1)'!F43</f>
        <v>MMM 2011</v>
      </c>
      <c r="G168" s="11" t="str">
        <f>'(FnCalls 1)'!F44</f>
        <v>MMM 2011</v>
      </c>
      <c r="H168" s="11" t="str">
        <f>'(FnCalls 1)'!F45</f>
        <v>MMM 2011</v>
      </c>
      <c r="I168" s="12" t="str">
        <f>'(FnCalls 1)'!F46</f>
        <v>MMM 2011</v>
      </c>
    </row>
    <row r="169" spans="1:9" ht="12.75" hidden="1" customHeight="1" outlineLevel="3" x14ac:dyDescent="0.2">
      <c r="A169" s="13" t="str">
        <f>Labels!B95</f>
        <v>Raw Inventory Targ Days</v>
      </c>
      <c r="B169" s="63"/>
      <c r="C169" s="64"/>
      <c r="D169" s="100">
        <f>30</f>
        <v>30</v>
      </c>
      <c r="E169" s="100">
        <f>D169</f>
        <v>30</v>
      </c>
      <c r="F169" s="100">
        <f>E169</f>
        <v>30</v>
      </c>
      <c r="G169" s="100">
        <f>F169</f>
        <v>30</v>
      </c>
      <c r="H169" s="100">
        <f>G169</f>
        <v>30</v>
      </c>
      <c r="I169" s="97">
        <f>H169</f>
        <v>30</v>
      </c>
    </row>
    <row r="170" spans="1:9" ht="12.75" hidden="1" customHeight="1" outlineLevel="3" x14ac:dyDescent="0.2">
      <c r="A170" s="5"/>
      <c r="B170" s="6"/>
      <c r="C170" s="7"/>
      <c r="D170" s="6"/>
      <c r="E170" s="6"/>
      <c r="F170" s="6"/>
      <c r="G170" s="6"/>
      <c r="H170" s="6"/>
      <c r="I170" s="7"/>
    </row>
    <row r="171" spans="1:9" ht="12.75" hidden="1" customHeight="1" outlineLevel="3" x14ac:dyDescent="0.2">
      <c r="A171" s="18" t="str">
        <f>Labels!B87</f>
        <v>FG Inventory Targ Days</v>
      </c>
      <c r="B171" s="19" t="str">
        <f>Labels!B255</f>
        <v>Product 1</v>
      </c>
      <c r="C171" s="33"/>
      <c r="D171" s="101">
        <f>30</f>
        <v>30</v>
      </c>
      <c r="E171" s="101">
        <f t="shared" ref="E171:I172" si="12">D171</f>
        <v>30</v>
      </c>
      <c r="F171" s="101">
        <f t="shared" si="12"/>
        <v>30</v>
      </c>
      <c r="G171" s="101">
        <f t="shared" si="12"/>
        <v>30</v>
      </c>
      <c r="H171" s="101">
        <f t="shared" si="12"/>
        <v>30</v>
      </c>
      <c r="I171" s="102">
        <f t="shared" si="12"/>
        <v>30</v>
      </c>
    </row>
    <row r="172" spans="1:9" ht="12.75" hidden="1" customHeight="1" outlineLevel="3" x14ac:dyDescent="0.2">
      <c r="A172" s="25"/>
      <c r="B172" s="26" t="str">
        <f>Labels!B256</f>
        <v>Product 2</v>
      </c>
      <c r="C172" s="46"/>
      <c r="D172" s="103">
        <f>30</f>
        <v>30</v>
      </c>
      <c r="E172" s="103">
        <f t="shared" si="12"/>
        <v>30</v>
      </c>
      <c r="F172" s="103">
        <f t="shared" si="12"/>
        <v>30</v>
      </c>
      <c r="G172" s="103">
        <f t="shared" si="12"/>
        <v>30</v>
      </c>
      <c r="H172" s="103">
        <f t="shared" si="12"/>
        <v>30</v>
      </c>
      <c r="I172" s="104">
        <f t="shared" si="12"/>
        <v>30</v>
      </c>
    </row>
    <row r="173" spans="1:9" ht="12.75" hidden="1" customHeight="1" outlineLevel="3" x14ac:dyDescent="0.2"/>
    <row r="174" spans="1:9" ht="12.75" hidden="1" customHeight="1" outlineLevel="3" collapsed="1" x14ac:dyDescent="0.2"/>
    <row r="175" spans="1:9" ht="12.75" hidden="1" customHeight="1" outlineLevel="2" collapsed="1" x14ac:dyDescent="0.2">
      <c r="A175" s="3" t="str">
        <f>"Accounts Receivable"</f>
        <v>Accounts Receivable</v>
      </c>
    </row>
    <row r="176" spans="1:9" ht="12.75" hidden="1" customHeight="1" outlineLevel="3" x14ac:dyDescent="0.2">
      <c r="A176" s="3" t="str">
        <f>""</f>
        <v/>
      </c>
    </row>
    <row r="177" spans="1:10" ht="12.75" hidden="1" customHeight="1" outlineLevel="3" x14ac:dyDescent="0.2">
      <c r="A177" s="5" t="str">
        <f>Labels!B11</f>
        <v>Initial AR - Products</v>
      </c>
      <c r="B177" s="6"/>
      <c r="C177" s="7"/>
      <c r="D177" s="105"/>
    </row>
    <row r="178" spans="1:10" ht="12.75" hidden="1" customHeight="1" outlineLevel="3" x14ac:dyDescent="0.2"/>
    <row r="179" spans="1:10" ht="12.75" hidden="1" customHeight="1" outlineLevel="3" x14ac:dyDescent="0.2">
      <c r="D179" s="10" t="str">
        <f>'(FnCalls 1)'!F41</f>
        <v>MMM 2011</v>
      </c>
      <c r="E179" s="11" t="str">
        <f>'(FnCalls 1)'!F42</f>
        <v>MMM 2011</v>
      </c>
      <c r="F179" s="11" t="str">
        <f>'(FnCalls 1)'!F43</f>
        <v>MMM 2011</v>
      </c>
      <c r="G179" s="11" t="str">
        <f>'(FnCalls 1)'!F44</f>
        <v>MMM 2011</v>
      </c>
      <c r="H179" s="11" t="str">
        <f>'(FnCalls 1)'!F45</f>
        <v>MMM 2011</v>
      </c>
      <c r="I179" s="12" t="str">
        <f>'(FnCalls 1)'!F46</f>
        <v>MMM 2011</v>
      </c>
    </row>
    <row r="180" spans="1:10" ht="12.75" hidden="1" customHeight="1" outlineLevel="3" x14ac:dyDescent="0.2">
      <c r="A180" s="5" t="str">
        <f>Labels!B10</f>
        <v>AR Days - Products</v>
      </c>
      <c r="B180" s="6"/>
      <c r="C180" s="7"/>
      <c r="D180" s="106">
        <f>60</f>
        <v>60</v>
      </c>
      <c r="E180" s="106">
        <f>D180</f>
        <v>60</v>
      </c>
      <c r="F180" s="106">
        <f>E180</f>
        <v>60</v>
      </c>
      <c r="G180" s="106">
        <f>F180</f>
        <v>60</v>
      </c>
      <c r="H180" s="106">
        <f>G180</f>
        <v>60</v>
      </c>
      <c r="I180" s="107">
        <f>H180</f>
        <v>60</v>
      </c>
    </row>
    <row r="181" spans="1:10" ht="12.75" hidden="1" customHeight="1" outlineLevel="3" x14ac:dyDescent="0.2"/>
    <row r="182" spans="1:10" ht="12.75" hidden="1" customHeight="1" outlineLevel="3" collapsed="1" x14ac:dyDescent="0.2"/>
    <row r="183" spans="1:10" ht="12.75" hidden="1" customHeight="1" outlineLevel="2" collapsed="1" x14ac:dyDescent="0.2"/>
    <row r="184" spans="1:10" ht="12.75" hidden="1" customHeight="1" outlineLevel="1" collapsed="1" x14ac:dyDescent="0.2">
      <c r="A184" s="3" t="str">
        <f>"Long Term Assets"</f>
        <v>Long Term Assets</v>
      </c>
    </row>
    <row r="185" spans="1:10" ht="12.75" hidden="1" customHeight="1" outlineLevel="2" x14ac:dyDescent="0.2">
      <c r="A185" s="3" t="str">
        <f>" "</f>
        <v xml:space="preserve"> </v>
      </c>
    </row>
    <row r="186" spans="1:10" ht="12.75" hidden="1" customHeight="1" outlineLevel="2" x14ac:dyDescent="0.2">
      <c r="A186" s="1" t="str">
        <f>"Tagged Assets"</f>
        <v>Tagged Assets</v>
      </c>
    </row>
    <row r="187" spans="1:10" ht="12.75" hidden="1" customHeight="1" outlineLevel="2" x14ac:dyDescent="0.2">
      <c r="D187" s="10" t="str">
        <f>Labels!B160</f>
        <v>Asset Name</v>
      </c>
      <c r="E187" s="11" t="str">
        <f>Labels!B162</f>
        <v>Purch Date</v>
      </c>
      <c r="F187" s="11" t="str">
        <f>Labels!B155</f>
        <v>Initial Value</v>
      </c>
      <c r="G187" s="11" t="str">
        <f>Labels!B153</f>
        <v>Depr Method</v>
      </c>
      <c r="H187" s="11" t="str">
        <f>Labels!B157</f>
        <v>Depr Life (Yr)</v>
      </c>
      <c r="I187" s="11" t="str">
        <f>Labels!B159</f>
        <v>Physical Life (Yr)</v>
      </c>
      <c r="J187" s="12" t="str">
        <f>Labels!B164</f>
        <v>Salvage Value</v>
      </c>
    </row>
    <row r="188" spans="1:10" ht="12.75" hidden="1" customHeight="1" outlineLevel="2" x14ac:dyDescent="0.2">
      <c r="A188" s="5" t="str">
        <f>Labels!B186</f>
        <v>Asset 1</v>
      </c>
      <c r="B188" s="6"/>
      <c r="C188" s="7"/>
      <c r="D188" s="108"/>
      <c r="E188" s="109">
        <f>'(FnCalls 1)'!A47</f>
        <v>40725</v>
      </c>
      <c r="F188" s="110">
        <f>0</f>
        <v>0</v>
      </c>
      <c r="G188" s="108" t="str">
        <f>"SLN"</f>
        <v>SLN</v>
      </c>
      <c r="H188" s="111">
        <f>10</f>
        <v>10</v>
      </c>
      <c r="I188" s="111">
        <f>H188</f>
        <v>10</v>
      </c>
      <c r="J188" s="112">
        <f>0</f>
        <v>0</v>
      </c>
    </row>
    <row r="189" spans="1:10" ht="12.75" hidden="1" customHeight="1" outlineLevel="2" x14ac:dyDescent="0.2"/>
    <row r="190" spans="1:10" ht="12.75" hidden="1" customHeight="1" outlineLevel="2" collapsed="1" x14ac:dyDescent="0.2"/>
    <row r="191" spans="1:10" ht="12.75" hidden="1" customHeight="1" outlineLevel="1" collapsed="1" x14ac:dyDescent="0.2"/>
    <row r="192" spans="1:10" ht="12.75" customHeight="1" collapsed="1" x14ac:dyDescent="0.2"/>
    <row r="193" spans="1:10" ht="12.75" customHeight="1" x14ac:dyDescent="0.2">
      <c r="A193" s="2" t="str">
        <f>"Liabilities"</f>
        <v>Liabilities</v>
      </c>
    </row>
    <row r="194" spans="1:10" ht="12.75" hidden="1" customHeight="1" outlineLevel="1" x14ac:dyDescent="0.2">
      <c r="A194" s="2" t="str">
        <f>""</f>
        <v/>
      </c>
    </row>
    <row r="195" spans="1:10" ht="12.75" hidden="1" customHeight="1" outlineLevel="1" x14ac:dyDescent="0.2">
      <c r="A195" s="1" t="str">
        <f>""</f>
        <v/>
      </c>
    </row>
    <row r="196" spans="1:10" ht="12.75" hidden="1" customHeight="1" outlineLevel="1" x14ac:dyDescent="0.2">
      <c r="A196" s="321" t="str">
        <f>"Short Term Liabilities"</f>
        <v>Short Term Liabilities</v>
      </c>
      <c r="B196" s="321"/>
    </row>
    <row r="197" spans="1:10" ht="12.75" hidden="1" customHeight="1" outlineLevel="2" x14ac:dyDescent="0.2">
      <c r="A197" s="321" t="str">
        <f>""</f>
        <v/>
      </c>
      <c r="B197" s="321"/>
    </row>
    <row r="198" spans="1:10" ht="12.75" hidden="1" customHeight="1" outlineLevel="2" x14ac:dyDescent="0.2">
      <c r="A198" s="1" t="str">
        <f>"Accounts Payable"</f>
        <v>Accounts Payable</v>
      </c>
    </row>
    <row r="199" spans="1:10" ht="12.75" hidden="1" customHeight="1" outlineLevel="2" x14ac:dyDescent="0.2">
      <c r="A199" s="1" t="str">
        <f>" "</f>
        <v xml:space="preserve"> </v>
      </c>
    </row>
    <row r="200" spans="1:10" ht="12.75" hidden="1" customHeight="1" outlineLevel="2" x14ac:dyDescent="0.2">
      <c r="A200" s="13" t="str">
        <f>Labels!B9</f>
        <v>Initial Accts Payable</v>
      </c>
      <c r="B200" s="14" t="str">
        <f>Labels!B181</f>
        <v>Vendor Payables</v>
      </c>
      <c r="C200" s="30"/>
      <c r="D200" s="90">
        <f>0/3</f>
        <v>0</v>
      </c>
    </row>
    <row r="201" spans="1:10" ht="12.75" hidden="1" customHeight="1" outlineLevel="2" x14ac:dyDescent="0.2">
      <c r="A201" s="18"/>
      <c r="B201" s="19" t="str">
        <f>Labels!B182</f>
        <v>Payroll Payables</v>
      </c>
      <c r="C201" s="33"/>
      <c r="D201" s="113">
        <f>0/3</f>
        <v>0</v>
      </c>
    </row>
    <row r="202" spans="1:10" ht="12.75" hidden="1" customHeight="1" outlineLevel="2" x14ac:dyDescent="0.2">
      <c r="A202" s="18"/>
      <c r="B202" s="19" t="str">
        <f>Labels!B183</f>
        <v>Taxes Payable</v>
      </c>
      <c r="C202" s="33"/>
      <c r="D202" s="113">
        <f>0/3</f>
        <v>0</v>
      </c>
    </row>
    <row r="203" spans="1:10" ht="12.75" hidden="1" customHeight="1" outlineLevel="2" x14ac:dyDescent="0.2">
      <c r="A203" s="5"/>
      <c r="B203" s="6"/>
      <c r="C203" s="7"/>
      <c r="D203" s="91"/>
    </row>
    <row r="204" spans="1:10" ht="12.75" hidden="1" customHeight="1" outlineLevel="2" x14ac:dyDescent="0.2">
      <c r="D204" s="10" t="str">
        <f>'(FnCalls 1)'!F40</f>
        <v>MMM 2010</v>
      </c>
      <c r="E204" s="11" t="str">
        <f>'(FnCalls 1)'!F41</f>
        <v>MMM 2011</v>
      </c>
      <c r="F204" s="11" t="str">
        <f>'(FnCalls 1)'!F42</f>
        <v>MMM 2011</v>
      </c>
      <c r="G204" s="11" t="str">
        <f>'(FnCalls 1)'!F43</f>
        <v>MMM 2011</v>
      </c>
      <c r="H204" s="11" t="str">
        <f>'(FnCalls 1)'!F44</f>
        <v>MMM 2011</v>
      </c>
      <c r="I204" s="11" t="str">
        <f>'(FnCalls 1)'!F45</f>
        <v>MMM 2011</v>
      </c>
      <c r="J204" s="12" t="str">
        <f>'(FnCalls 1)'!F46</f>
        <v>MMM 2011</v>
      </c>
    </row>
    <row r="205" spans="1:10" ht="12.75" hidden="1" customHeight="1" outlineLevel="2" x14ac:dyDescent="0.2">
      <c r="A205" s="13" t="str">
        <f>Labels!B7</f>
        <v>Accts Pay Targ Days</v>
      </c>
      <c r="B205" s="14" t="str">
        <f>Labels!B181</f>
        <v>Vendor Payables</v>
      </c>
      <c r="C205" s="30"/>
      <c r="D205" s="114"/>
      <c r="E205" s="115">
        <f>30</f>
        <v>30</v>
      </c>
      <c r="F205" s="115">
        <f t="shared" ref="F205:J207" si="13">E205</f>
        <v>30</v>
      </c>
      <c r="G205" s="115">
        <f t="shared" si="13"/>
        <v>30</v>
      </c>
      <c r="H205" s="115">
        <f t="shared" si="13"/>
        <v>30</v>
      </c>
      <c r="I205" s="115">
        <f t="shared" si="13"/>
        <v>30</v>
      </c>
      <c r="J205" s="116">
        <f t="shared" si="13"/>
        <v>30</v>
      </c>
    </row>
    <row r="206" spans="1:10" ht="12.75" hidden="1" customHeight="1" outlineLevel="2" x14ac:dyDescent="0.2">
      <c r="A206" s="18"/>
      <c r="B206" s="19" t="str">
        <f>Labels!B182</f>
        <v>Payroll Payables</v>
      </c>
      <c r="C206" s="33"/>
      <c r="D206" s="117"/>
      <c r="E206" s="118">
        <f>30</f>
        <v>30</v>
      </c>
      <c r="F206" s="118">
        <f t="shared" si="13"/>
        <v>30</v>
      </c>
      <c r="G206" s="118">
        <f t="shared" si="13"/>
        <v>30</v>
      </c>
      <c r="H206" s="118">
        <f t="shared" si="13"/>
        <v>30</v>
      </c>
      <c r="I206" s="118">
        <f t="shared" si="13"/>
        <v>30</v>
      </c>
      <c r="J206" s="119">
        <f t="shared" si="13"/>
        <v>30</v>
      </c>
    </row>
    <row r="207" spans="1:10" ht="12.75" hidden="1" customHeight="1" outlineLevel="2" x14ac:dyDescent="0.2">
      <c r="A207" s="25"/>
      <c r="B207" s="26" t="str">
        <f>Labels!B183</f>
        <v>Taxes Payable</v>
      </c>
      <c r="C207" s="46"/>
      <c r="D207" s="120"/>
      <c r="E207" s="121">
        <f>30</f>
        <v>30</v>
      </c>
      <c r="F207" s="121">
        <f t="shared" si="13"/>
        <v>30</v>
      </c>
      <c r="G207" s="121">
        <f t="shared" si="13"/>
        <v>30</v>
      </c>
      <c r="H207" s="121">
        <f t="shared" si="13"/>
        <v>30</v>
      </c>
      <c r="I207" s="121">
        <f t="shared" si="13"/>
        <v>30</v>
      </c>
      <c r="J207" s="122">
        <f t="shared" si="13"/>
        <v>30</v>
      </c>
    </row>
    <row r="208" spans="1:10" ht="12.75" hidden="1" customHeight="1" outlineLevel="2" x14ac:dyDescent="0.2"/>
    <row r="209" spans="1:10" ht="12.75" hidden="1" customHeight="1" outlineLevel="2" x14ac:dyDescent="0.2">
      <c r="A209" s="1" t="str">
        <f>"Short-Term Debt"</f>
        <v>Short-Term Debt</v>
      </c>
    </row>
    <row r="210" spans="1:10" ht="12.75" hidden="1" customHeight="1" outlineLevel="2" x14ac:dyDescent="0.2">
      <c r="A210" s="1" t="str">
        <f>" "</f>
        <v xml:space="preserve"> </v>
      </c>
    </row>
    <row r="211" spans="1:10" ht="12.75" hidden="1" customHeight="1" outlineLevel="2" x14ac:dyDescent="0.2">
      <c r="A211" s="5" t="str">
        <f>Labels!B151</f>
        <v>Short Term Debt</v>
      </c>
      <c r="B211" s="6"/>
      <c r="C211" s="7"/>
      <c r="D211" s="123">
        <f>0</f>
        <v>0</v>
      </c>
      <c r="E211" s="123">
        <f>MAX(0,'(Compute)'!C7-'(Tables)'!C244)</f>
        <v>0</v>
      </c>
      <c r="F211" s="123">
        <f>MAX(0,'(Compute)'!D7-'(Tables)'!D244)</f>
        <v>0</v>
      </c>
      <c r="G211" s="123">
        <f>MAX(0,'(Compute)'!E7-'(Tables)'!E244)</f>
        <v>0</v>
      </c>
      <c r="H211" s="123">
        <f>MAX(0,'(Compute)'!F7-'(Tables)'!F244)</f>
        <v>0</v>
      </c>
      <c r="I211" s="123">
        <f>MAX(0,'(Compute)'!G7-'(Tables)'!G244)</f>
        <v>0</v>
      </c>
      <c r="J211" s="124">
        <f>MAX(0,'(Compute)'!H7-'(Tables)'!H244)</f>
        <v>0</v>
      </c>
    </row>
    <row r="212" spans="1:10" ht="12.75" hidden="1" customHeight="1" outlineLevel="2" x14ac:dyDescent="0.2">
      <c r="A212" s="319" t="str">
        <f>"The model sets short debt based on cash balances. You can override this."</f>
        <v>The model sets short debt based on cash balances. You can override this.</v>
      </c>
      <c r="B212" s="319"/>
      <c r="C212" s="319"/>
      <c r="D212" s="319"/>
      <c r="E212" s="319"/>
      <c r="F212" s="319"/>
      <c r="G212" s="319"/>
    </row>
    <row r="213" spans="1:10" ht="12.75" hidden="1" customHeight="1" outlineLevel="2" x14ac:dyDescent="0.2"/>
    <row r="214" spans="1:10" ht="12.75" hidden="1" customHeight="1" outlineLevel="2" collapsed="1" x14ac:dyDescent="0.2"/>
    <row r="215" spans="1:10" ht="12.75" hidden="1" customHeight="1" outlineLevel="1" collapsed="1" x14ac:dyDescent="0.2">
      <c r="A215" s="321" t="str">
        <f>"Long Term Liabilities"</f>
        <v>Long Term Liabilities</v>
      </c>
      <c r="B215" s="321"/>
    </row>
    <row r="216" spans="1:10" ht="12.75" hidden="1" customHeight="1" outlineLevel="2" x14ac:dyDescent="0.2">
      <c r="A216" s="321" t="str">
        <f>" "</f>
        <v xml:space="preserve"> </v>
      </c>
      <c r="B216" s="321"/>
    </row>
    <row r="217" spans="1:10" ht="12.75" hidden="1" customHeight="1" outlineLevel="2" x14ac:dyDescent="0.2">
      <c r="D217" s="10" t="str">
        <f>'(FnCalls 1)'!F40</f>
        <v>MMM 2010</v>
      </c>
      <c r="E217" s="11" t="str">
        <f>'(FnCalls 1)'!F41</f>
        <v>MMM 2011</v>
      </c>
      <c r="F217" s="11" t="str">
        <f>'(FnCalls 1)'!F42</f>
        <v>MMM 2011</v>
      </c>
      <c r="G217" s="11" t="str">
        <f>'(FnCalls 1)'!F43</f>
        <v>MMM 2011</v>
      </c>
      <c r="H217" s="11" t="str">
        <f>'(FnCalls 1)'!F44</f>
        <v>MMM 2011</v>
      </c>
      <c r="I217" s="11" t="str">
        <f>'(FnCalls 1)'!F45</f>
        <v>MMM 2011</v>
      </c>
      <c r="J217" s="12" t="str">
        <f>'(FnCalls 1)'!F46</f>
        <v>MMM 2011</v>
      </c>
    </row>
    <row r="218" spans="1:10" ht="12.75" hidden="1" customHeight="1" outlineLevel="2" x14ac:dyDescent="0.2">
      <c r="A218" s="5" t="str">
        <f>Labels!B99</f>
        <v>Long Term Loans</v>
      </c>
      <c r="B218" s="6"/>
      <c r="C218" s="7"/>
      <c r="D218" s="123">
        <f>0</f>
        <v>0</v>
      </c>
      <c r="E218" s="123">
        <f t="shared" ref="E218:J218" si="14">D218</f>
        <v>0</v>
      </c>
      <c r="F218" s="123">
        <f t="shared" si="14"/>
        <v>0</v>
      </c>
      <c r="G218" s="123">
        <f t="shared" si="14"/>
        <v>0</v>
      </c>
      <c r="H218" s="123">
        <f t="shared" si="14"/>
        <v>0</v>
      </c>
      <c r="I218" s="123">
        <f t="shared" si="14"/>
        <v>0</v>
      </c>
      <c r="J218" s="124">
        <f t="shared" si="14"/>
        <v>0</v>
      </c>
    </row>
    <row r="219" spans="1:10" ht="12.75" hidden="1" customHeight="1" outlineLevel="2" x14ac:dyDescent="0.2"/>
    <row r="220" spans="1:10" ht="12.75" hidden="1" customHeight="1" outlineLevel="2" collapsed="1" x14ac:dyDescent="0.2"/>
    <row r="221" spans="1:10" ht="12.75" hidden="1" customHeight="1" outlineLevel="1" collapsed="1" x14ac:dyDescent="0.2"/>
    <row r="222" spans="1:10" ht="12.75" customHeight="1" collapsed="1" x14ac:dyDescent="0.2"/>
    <row r="223" spans="1:10" ht="12.75" customHeight="1" x14ac:dyDescent="0.2">
      <c r="A223" s="2" t="str">
        <f>"Equity"</f>
        <v>Equity</v>
      </c>
    </row>
    <row r="224" spans="1:10" ht="12.75" hidden="1" customHeight="1" outlineLevel="1" x14ac:dyDescent="0.2">
      <c r="A224" s="2" t="str">
        <f>""</f>
        <v/>
      </c>
    </row>
    <row r="225" spans="1:10" ht="12.75" hidden="1" customHeight="1" outlineLevel="1" x14ac:dyDescent="0.2">
      <c r="A225" s="319" t="str">
        <f>"Initial retained earnings are set to satisfy initial balance check."</f>
        <v>Initial retained earnings are set to satisfy initial balance check.</v>
      </c>
      <c r="B225" s="319"/>
      <c r="C225" s="319"/>
      <c r="D225" s="319"/>
    </row>
    <row r="226" spans="1:10" ht="12.75" hidden="1" customHeight="1" outlineLevel="1" x14ac:dyDescent="0.2">
      <c r="D226" s="10" t="str">
        <f>'(FnCalls 1)'!F40</f>
        <v>MMM 2010</v>
      </c>
      <c r="E226" s="11" t="str">
        <f>'(FnCalls 1)'!F41</f>
        <v>MMM 2011</v>
      </c>
      <c r="F226" s="11" t="str">
        <f>'(FnCalls 1)'!F42</f>
        <v>MMM 2011</v>
      </c>
      <c r="G226" s="11" t="str">
        <f>'(FnCalls 1)'!F43</f>
        <v>MMM 2011</v>
      </c>
      <c r="H226" s="11" t="str">
        <f>'(FnCalls 1)'!F44</f>
        <v>MMM 2011</v>
      </c>
      <c r="I226" s="11" t="str">
        <f>'(FnCalls 1)'!F45</f>
        <v>MMM 2011</v>
      </c>
      <c r="J226" s="12" t="str">
        <f>'(FnCalls 1)'!F46</f>
        <v>MMM 2011</v>
      </c>
    </row>
    <row r="227" spans="1:10" ht="12.75" hidden="1" customHeight="1" outlineLevel="1" x14ac:dyDescent="0.2">
      <c r="A227" s="13" t="str">
        <f>Labels!B104</f>
        <v>Net Stock Issue</v>
      </c>
      <c r="B227" s="63"/>
      <c r="C227" s="64"/>
      <c r="D227" s="125">
        <f>0</f>
        <v>0</v>
      </c>
      <c r="E227" s="125">
        <f>0</f>
        <v>0</v>
      </c>
      <c r="F227" s="125">
        <f>0</f>
        <v>0</v>
      </c>
      <c r="G227" s="125">
        <f>0</f>
        <v>0</v>
      </c>
      <c r="H227" s="125">
        <f>0</f>
        <v>0</v>
      </c>
      <c r="I227" s="125">
        <f>0</f>
        <v>0</v>
      </c>
      <c r="J227" s="126">
        <f>0</f>
        <v>0</v>
      </c>
    </row>
    <row r="228" spans="1:10" ht="12.75" hidden="1" customHeight="1" outlineLevel="1" x14ac:dyDescent="0.2">
      <c r="A228" s="5"/>
      <c r="B228" s="6"/>
      <c r="C228" s="7"/>
      <c r="D228" s="6"/>
      <c r="E228" s="6"/>
      <c r="F228" s="6"/>
      <c r="G228" s="6"/>
      <c r="H228" s="6"/>
      <c r="I228" s="6"/>
      <c r="J228" s="7"/>
    </row>
    <row r="229" spans="1:10" ht="12.75" hidden="1" customHeight="1" outlineLevel="1" x14ac:dyDescent="0.2">
      <c r="A229" s="25" t="str">
        <f>Labels!B60</f>
        <v>Dividend</v>
      </c>
      <c r="B229" s="42"/>
      <c r="C229" s="43"/>
      <c r="D229" s="127"/>
      <c r="E229" s="76">
        <f>0</f>
        <v>0</v>
      </c>
      <c r="F229" s="76">
        <f>0</f>
        <v>0</v>
      </c>
      <c r="G229" s="76">
        <f>0</f>
        <v>0</v>
      </c>
      <c r="H229" s="76">
        <f>0</f>
        <v>0</v>
      </c>
      <c r="I229" s="76">
        <f>0</f>
        <v>0</v>
      </c>
      <c r="J229" s="77">
        <f>0</f>
        <v>0</v>
      </c>
    </row>
    <row r="230" spans="1:10" ht="12.75" hidden="1" customHeight="1" outlineLevel="1" x14ac:dyDescent="0.2"/>
    <row r="231" spans="1:10" ht="12.75" hidden="1" customHeight="1" outlineLevel="1" collapsed="1" x14ac:dyDescent="0.2"/>
    <row r="232" spans="1:10" ht="12.75" customHeight="1" collapsed="1" x14ac:dyDescent="0.2"/>
  </sheetData>
  <mergeCells count="38">
    <mergeCell ref="A216:B216"/>
    <mergeCell ref="A225:D225"/>
    <mergeCell ref="A133:B133"/>
    <mergeCell ref="A135:B135"/>
    <mergeCell ref="A196:B196"/>
    <mergeCell ref="A197:B197"/>
    <mergeCell ref="A212:G212"/>
    <mergeCell ref="A215:B215"/>
    <mergeCell ref="A132:B132"/>
    <mergeCell ref="A61:B61"/>
    <mergeCell ref="A69:B69"/>
    <mergeCell ref="A71:B71"/>
    <mergeCell ref="A77:H77"/>
    <mergeCell ref="A79:C79"/>
    <mergeCell ref="A103:B103"/>
    <mergeCell ref="A104:B104"/>
    <mergeCell ref="A114:B114"/>
    <mergeCell ref="A115:B115"/>
    <mergeCell ref="A120:C120"/>
    <mergeCell ref="A121:C121"/>
    <mergeCell ref="A60:B60"/>
    <mergeCell ref="A10:B10"/>
    <mergeCell ref="A11:B11"/>
    <mergeCell ref="A29:B29"/>
    <mergeCell ref="A30:B30"/>
    <mergeCell ref="A44:B44"/>
    <mergeCell ref="A46:B46"/>
    <mergeCell ref="A47:B47"/>
    <mergeCell ref="A48:B48"/>
    <mergeCell ref="A49:B49"/>
    <mergeCell ref="A56:B56"/>
    <mergeCell ref="A57:B57"/>
    <mergeCell ref="A6:D6"/>
    <mergeCell ref="A1:D1"/>
    <mergeCell ref="A2:D2"/>
    <mergeCell ref="A3:D3"/>
    <mergeCell ref="A4:D4"/>
    <mergeCell ref="A5:D5"/>
  </mergeCells>
  <pageMargins left="0.25" right="0.25" top="0.5" bottom="0.5" header="0.5" footer="0.5"/>
  <pageSetup paperSize="9" fitToHeight="32767" orientation="landscape"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H27"/>
  <sheetViews>
    <sheetView zoomScaleNormal="100" workbookViewId="0"/>
  </sheetViews>
  <sheetFormatPr defaultRowHeight="12.75" customHeight="1" x14ac:dyDescent="0.2"/>
  <cols>
    <col min="1" max="1" width="21.5703125" customWidth="1"/>
    <col min="2" max="2" width="8.5703125" customWidth="1"/>
    <col min="3" max="3" width="8.7109375" customWidth="1"/>
    <col min="4" max="5" width="8.5703125" customWidth="1"/>
    <col min="6" max="6" width="8.85546875" customWidth="1"/>
    <col min="7" max="7" width="8.7109375" customWidth="1"/>
    <col min="8" max="8" width="5.85546875" customWidth="1"/>
  </cols>
  <sheetData>
    <row r="1" spans="1:8" ht="12.75" customHeight="1" x14ac:dyDescent="0.2">
      <c r="A1" s="320" t="str">
        <f>Inputs!D7</f>
        <v>ABC Corp.</v>
      </c>
      <c r="B1" s="320"/>
      <c r="C1" s="320"/>
      <c r="D1" s="320"/>
    </row>
    <row r="2" spans="1:8" ht="12.75" customHeight="1" x14ac:dyDescent="0.2">
      <c r="A2" s="320" t="e">
        <f>TEXT('(FnCalls 1)'!A41,"m/d/yyyy")&amp;" to "&amp;TEXT('(FnCalls 1)'!A47-1,"m/d/yyyy")&amp;", Scenario "&amp;1</f>
        <v>#VALUE!</v>
      </c>
      <c r="B2" s="320"/>
      <c r="C2" s="320"/>
      <c r="D2" s="320"/>
    </row>
    <row r="3" spans="1:8" ht="12.75" customHeight="1" x14ac:dyDescent="0.2">
      <c r="A3" s="320" t="str">
        <f>"Income Statement"</f>
        <v>Income Statement</v>
      </c>
      <c r="B3" s="320"/>
      <c r="C3" s="320"/>
      <c r="D3" s="320"/>
    </row>
    <row r="4" spans="1:8" ht="12.75" customHeight="1" x14ac:dyDescent="0.2">
      <c r="A4" s="320" t="str">
        <f>""</f>
        <v/>
      </c>
      <c r="B4" s="320"/>
      <c r="C4" s="320"/>
      <c r="D4" s="320"/>
    </row>
    <row r="5" spans="1:8" ht="12.75" customHeight="1" x14ac:dyDescent="0.2">
      <c r="B5" s="10" t="str">
        <f>'(FnCalls 1)'!F41</f>
        <v>MMM 2011</v>
      </c>
      <c r="C5" s="11" t="str">
        <f>'(FnCalls 1)'!F42</f>
        <v>MMM 2011</v>
      </c>
      <c r="D5" s="11" t="str">
        <f>'(FnCalls 1)'!F43</f>
        <v>MMM 2011</v>
      </c>
      <c r="E5" s="11" t="str">
        <f>'(FnCalls 1)'!F44</f>
        <v>MMM 2011</v>
      </c>
      <c r="F5" s="11" t="str">
        <f>'(FnCalls 1)'!F45</f>
        <v>MMM 2011</v>
      </c>
      <c r="G5" s="11" t="str">
        <f>'(FnCalls 1)'!F46</f>
        <v>MMM 2011</v>
      </c>
      <c r="H5" s="94" t="str">
        <f>'(FnCalls 1)'!H41</f>
        <v>2011</v>
      </c>
    </row>
    <row r="6" spans="1:8" ht="12.75" customHeight="1" x14ac:dyDescent="0.2">
      <c r="A6" s="128" t="str">
        <f>Labels!B131</f>
        <v>Revenue</v>
      </c>
      <c r="B6" s="129">
        <f>SUM(Sales!B23:B24)</f>
        <v>0</v>
      </c>
      <c r="C6" s="129">
        <f>SUM(Sales!C23:C24)</f>
        <v>0</v>
      </c>
      <c r="D6" s="129">
        <f>SUM(Sales!D23:D24)</f>
        <v>0</v>
      </c>
      <c r="E6" s="129">
        <f>SUM(Sales!E23:E24)</f>
        <v>0</v>
      </c>
      <c r="F6" s="129">
        <f>SUM(Sales!F23:F24)</f>
        <v>0</v>
      </c>
      <c r="G6" s="129">
        <f>SUM(Sales!G23:G24)</f>
        <v>0</v>
      </c>
      <c r="H6" s="130">
        <f>SUM(B6:G6)</f>
        <v>0</v>
      </c>
    </row>
    <row r="7" spans="1:8" ht="12.75" customHeight="1" x14ac:dyDescent="0.2">
      <c r="A7" s="131" t="str">
        <f>Labels!B134</f>
        <v>Revenue Growth</v>
      </c>
      <c r="B7" s="132"/>
      <c r="C7" s="132" t="str">
        <f>IF(B6=0," ",C6/B6-1)</f>
        <v xml:space="preserve"> </v>
      </c>
      <c r="D7" s="132" t="str">
        <f>IF(C6=0," ",D6/C6-1)</f>
        <v xml:space="preserve"> </v>
      </c>
      <c r="E7" s="132" t="str">
        <f>IF(D6=0," ",E6/D6-1)</f>
        <v xml:space="preserve"> </v>
      </c>
      <c r="F7" s="132" t="str">
        <f>IF(E6=0," ",F6/E6-1)</f>
        <v xml:space="preserve"> </v>
      </c>
      <c r="G7" s="132" t="str">
        <f>IF(F6=0," ",G6/F6-1)</f>
        <v xml:space="preserve"> </v>
      </c>
      <c r="H7" s="133" t="str">
        <f>" "</f>
        <v xml:space="preserve"> </v>
      </c>
    </row>
    <row r="9" spans="1:8" ht="12.75" customHeight="1" x14ac:dyDescent="0.2">
      <c r="A9" s="128" t="str">
        <f>Labels!B39</f>
        <v>Cost of Goods &amp; Services</v>
      </c>
      <c r="B9" s="129">
        <f>SUM('Cogs GM'!B64,'Cogs GM'!B80)</f>
        <v>0</v>
      </c>
      <c r="C9" s="129">
        <f>SUM('Cogs GM'!C64,'Cogs GM'!C80)</f>
        <v>0</v>
      </c>
      <c r="D9" s="129">
        <f>SUM('Cogs GM'!D64,'Cogs GM'!D80)</f>
        <v>0</v>
      </c>
      <c r="E9" s="129">
        <f>SUM('Cogs GM'!E64,'Cogs GM'!E80)</f>
        <v>0</v>
      </c>
      <c r="F9" s="129">
        <f>SUM('Cogs GM'!F64,'Cogs GM'!F80)</f>
        <v>0</v>
      </c>
      <c r="G9" s="129">
        <f>SUM('Cogs GM'!G64,'Cogs GM'!G80)</f>
        <v>0</v>
      </c>
      <c r="H9" s="130">
        <f>SUM(B9:G9)</f>
        <v>0</v>
      </c>
    </row>
    <row r="10" spans="1:8" ht="12.75" customHeight="1" x14ac:dyDescent="0.2">
      <c r="A10" s="134" t="str">
        <f>Labels!B74</f>
        <v>Gross Margin</v>
      </c>
      <c r="B10" s="135">
        <f>SUM('Cogs GM'!B17,'Cogs GM'!B21)</f>
        <v>0</v>
      </c>
      <c r="C10" s="135">
        <f>SUM('Cogs GM'!C17,'Cogs GM'!C21)</f>
        <v>0</v>
      </c>
      <c r="D10" s="135">
        <f>SUM('Cogs GM'!D17,'Cogs GM'!D21)</f>
        <v>0</v>
      </c>
      <c r="E10" s="135">
        <f>SUM('Cogs GM'!E17,'Cogs GM'!E21)</f>
        <v>0</v>
      </c>
      <c r="F10" s="135">
        <f>SUM('Cogs GM'!F17,'Cogs GM'!F21)</f>
        <v>0</v>
      </c>
      <c r="G10" s="135">
        <f>SUM('Cogs GM'!G17,'Cogs GM'!G21)</f>
        <v>0</v>
      </c>
      <c r="H10" s="136">
        <f>SUM(B10:G10)</f>
        <v>0</v>
      </c>
    </row>
    <row r="11" spans="1:8" ht="12.75" customHeight="1" x14ac:dyDescent="0.2">
      <c r="A11" s="131" t="str">
        <f>Labels!B75</f>
        <v>Gross Margin %</v>
      </c>
      <c r="B11" s="132">
        <f t="shared" ref="B11:G11" si="0">IF(B6=0,0,B10/B6)</f>
        <v>0</v>
      </c>
      <c r="C11" s="132">
        <f t="shared" si="0"/>
        <v>0</v>
      </c>
      <c r="D11" s="132">
        <f t="shared" si="0"/>
        <v>0</v>
      </c>
      <c r="E11" s="132">
        <f t="shared" si="0"/>
        <v>0</v>
      </c>
      <c r="F11" s="132">
        <f t="shared" si="0"/>
        <v>0</v>
      </c>
      <c r="G11" s="132">
        <f t="shared" si="0"/>
        <v>0</v>
      </c>
      <c r="H11" s="133">
        <f>IF(SUM(B6:G6)=0,0,SUM(B10:G10)/SUM(B6:G6))</f>
        <v>0</v>
      </c>
    </row>
    <row r="13" spans="1:8" ht="12.75" customHeight="1" x14ac:dyDescent="0.2">
      <c r="A13" s="128" t="str">
        <f>Labels!B111</f>
        <v>Operating Expense</v>
      </c>
      <c r="B13" s="129">
        <f>SUM(OpExp!B8:B9)</f>
        <v>0</v>
      </c>
      <c r="C13" s="129">
        <f>SUM(OpExp!C8:C9)</f>
        <v>0</v>
      </c>
      <c r="D13" s="129">
        <f>SUM(OpExp!D8:D9)</f>
        <v>0</v>
      </c>
      <c r="E13" s="129">
        <f>SUM(OpExp!E8:E9)</f>
        <v>0</v>
      </c>
      <c r="F13" s="129">
        <f>SUM(OpExp!F8:F9)</f>
        <v>0</v>
      </c>
      <c r="G13" s="129">
        <f>SUM(OpExp!G8:G9)</f>
        <v>0</v>
      </c>
      <c r="H13" s="130">
        <f>SUM(B13:G13)</f>
        <v>0</v>
      </c>
    </row>
    <row r="14" spans="1:8" ht="12.75" customHeight="1" x14ac:dyDescent="0.2">
      <c r="A14" s="134" t="str">
        <f>Labels!B47</f>
        <v>Unapplied Direct Labor</v>
      </c>
      <c r="B14" s="137">
        <f t="shared" ref="B14:G14" si="1">0*MAX(0,0*0/12-0)</f>
        <v>0</v>
      </c>
      <c r="C14" s="137">
        <f t="shared" si="1"/>
        <v>0</v>
      </c>
      <c r="D14" s="137">
        <f t="shared" si="1"/>
        <v>0</v>
      </c>
      <c r="E14" s="137">
        <f t="shared" si="1"/>
        <v>0</v>
      </c>
      <c r="F14" s="137">
        <f t="shared" si="1"/>
        <v>0</v>
      </c>
      <c r="G14" s="137">
        <f t="shared" si="1"/>
        <v>0</v>
      </c>
      <c r="H14" s="138">
        <f>SUM(B14:G14)</f>
        <v>0</v>
      </c>
    </row>
    <row r="15" spans="1:8" ht="12.75" customHeight="1" x14ac:dyDescent="0.2">
      <c r="A15" s="134" t="str">
        <f>Labels!B112</f>
        <v>Operating Margin</v>
      </c>
      <c r="B15" s="135">
        <f t="shared" ref="B15:G15" si="2">B10-B13-B14</f>
        <v>0</v>
      </c>
      <c r="C15" s="135">
        <f t="shared" si="2"/>
        <v>0</v>
      </c>
      <c r="D15" s="135">
        <f t="shared" si="2"/>
        <v>0</v>
      </c>
      <c r="E15" s="135">
        <f t="shared" si="2"/>
        <v>0</v>
      </c>
      <c r="F15" s="135">
        <f t="shared" si="2"/>
        <v>0</v>
      </c>
      <c r="G15" s="135">
        <f t="shared" si="2"/>
        <v>0</v>
      </c>
      <c r="H15" s="136">
        <f>SUM(B15:G15)</f>
        <v>0</v>
      </c>
    </row>
    <row r="16" spans="1:8" ht="12.75" customHeight="1" x14ac:dyDescent="0.2">
      <c r="A16" s="131" t="str">
        <f>Labels!B113</f>
        <v>Operating Margin %</v>
      </c>
      <c r="B16" s="132">
        <f t="shared" ref="B16:G16" si="3">IF(B6=0,0,B15/B6)</f>
        <v>0</v>
      </c>
      <c r="C16" s="132">
        <f t="shared" si="3"/>
        <v>0</v>
      </c>
      <c r="D16" s="132">
        <f t="shared" si="3"/>
        <v>0</v>
      </c>
      <c r="E16" s="132">
        <f t="shared" si="3"/>
        <v>0</v>
      </c>
      <c r="F16" s="132">
        <f t="shared" si="3"/>
        <v>0</v>
      </c>
      <c r="G16" s="132">
        <f t="shared" si="3"/>
        <v>0</v>
      </c>
      <c r="H16" s="133">
        <f>IF(SUM(B6:G6)=0,0,SUM(B15:G15)/SUM(B6:G6))</f>
        <v>0</v>
      </c>
    </row>
    <row r="18" spans="1:8" ht="12.75" customHeight="1" x14ac:dyDescent="0.2">
      <c r="A18" s="128" t="str">
        <f>Labels!B70</f>
        <v>Financial Exp</v>
      </c>
      <c r="B18" s="129">
        <f>FinTax!B10+FinTax!B13</f>
        <v>0</v>
      </c>
      <c r="C18" s="129">
        <f>FinTax!C10+FinTax!C13</f>
        <v>0</v>
      </c>
      <c r="D18" s="129">
        <f>FinTax!D10+FinTax!D13</f>
        <v>0</v>
      </c>
      <c r="E18" s="129">
        <f>FinTax!E10+FinTax!E13</f>
        <v>0</v>
      </c>
      <c r="F18" s="129">
        <f>FinTax!F10+FinTax!F13</f>
        <v>0</v>
      </c>
      <c r="G18" s="129">
        <f>FinTax!G10+FinTax!G13</f>
        <v>0</v>
      </c>
      <c r="H18" s="130">
        <f>SUM(B18:G18)</f>
        <v>0</v>
      </c>
    </row>
    <row r="19" spans="1:8" ht="12.75" customHeight="1" x14ac:dyDescent="0.2">
      <c r="A19" s="134" t="str">
        <f>Labels!B43</f>
        <v>Depreciation</v>
      </c>
      <c r="B19" s="135">
        <f>0+Assets!C59+0</f>
        <v>0</v>
      </c>
      <c r="C19" s="135">
        <f>0+Assets!D59+0</f>
        <v>0</v>
      </c>
      <c r="D19" s="135">
        <f>0+Assets!E59+0</f>
        <v>0</v>
      </c>
      <c r="E19" s="135">
        <f>0+Assets!F59+0</f>
        <v>0</v>
      </c>
      <c r="F19" s="135">
        <f>0+Assets!G59+0</f>
        <v>0</v>
      </c>
      <c r="G19" s="135">
        <f>0+Assets!H59+0</f>
        <v>0</v>
      </c>
      <c r="H19" s="136">
        <f>SUM(B19:G19)</f>
        <v>0</v>
      </c>
    </row>
    <row r="20" spans="1:8" ht="12.75" customHeight="1" x14ac:dyDescent="0.2">
      <c r="A20" s="134" t="str">
        <f>Labels!B78</f>
        <v>Income Tax</v>
      </c>
      <c r="B20" s="135">
        <f>Inputs!D144*FinTax!B22</f>
        <v>0</v>
      </c>
      <c r="C20" s="135">
        <f>Inputs!E144*FinTax!C22</f>
        <v>0</v>
      </c>
      <c r="D20" s="135">
        <f>Inputs!F144*FinTax!D22</f>
        <v>0</v>
      </c>
      <c r="E20" s="135">
        <f>Inputs!G144*FinTax!E22</f>
        <v>0</v>
      </c>
      <c r="F20" s="135">
        <f>Inputs!H144*FinTax!F22</f>
        <v>0</v>
      </c>
      <c r="G20" s="135">
        <f>Inputs!I144*FinTax!G22</f>
        <v>0</v>
      </c>
      <c r="H20" s="136">
        <f>SUM(B20:G20)</f>
        <v>0</v>
      </c>
    </row>
    <row r="21" spans="1:8" ht="12.75" customHeight="1" x14ac:dyDescent="0.2">
      <c r="A21" s="134" t="str">
        <f>Labels!B103</f>
        <v>Net Income</v>
      </c>
      <c r="B21" s="135">
        <f t="shared" ref="B21:G21" si="4">B15-B19-B18-B20</f>
        <v>0</v>
      </c>
      <c r="C21" s="135">
        <f t="shared" si="4"/>
        <v>0</v>
      </c>
      <c r="D21" s="135">
        <f t="shared" si="4"/>
        <v>0</v>
      </c>
      <c r="E21" s="135">
        <f t="shared" si="4"/>
        <v>0</v>
      </c>
      <c r="F21" s="135">
        <f t="shared" si="4"/>
        <v>0</v>
      </c>
      <c r="G21" s="135">
        <f t="shared" si="4"/>
        <v>0</v>
      </c>
      <c r="H21" s="136">
        <f>SUM(B21:G21)</f>
        <v>0</v>
      </c>
    </row>
    <row r="22" spans="1:8" ht="12.75" customHeight="1" x14ac:dyDescent="0.2">
      <c r="A22" s="131" t="str">
        <f>Labels!B129</f>
        <v>Return on Sales %</v>
      </c>
      <c r="B22" s="132">
        <f t="shared" ref="B22:G22" si="5">IF(B6=0,0,B21/B6)</f>
        <v>0</v>
      </c>
      <c r="C22" s="132">
        <f t="shared" si="5"/>
        <v>0</v>
      </c>
      <c r="D22" s="132">
        <f t="shared" si="5"/>
        <v>0</v>
      </c>
      <c r="E22" s="132">
        <f t="shared" si="5"/>
        <v>0</v>
      </c>
      <c r="F22" s="132">
        <f t="shared" si="5"/>
        <v>0</v>
      </c>
      <c r="G22" s="132">
        <f t="shared" si="5"/>
        <v>0</v>
      </c>
      <c r="H22" s="133">
        <f>IF(SUM(B6:G6)=0,0,SUM(B21:G21)/SUM(B6:G6))</f>
        <v>0</v>
      </c>
    </row>
    <row r="24" spans="1:8" ht="12.75" customHeight="1" x14ac:dyDescent="0.2">
      <c r="A24" s="91" t="str">
        <f>Labels!B60</f>
        <v>Dividend</v>
      </c>
      <c r="B24" s="139">
        <f>Inputs!E229</f>
        <v>0</v>
      </c>
      <c r="C24" s="139">
        <f>Inputs!F229</f>
        <v>0</v>
      </c>
      <c r="D24" s="139">
        <f>Inputs!G229</f>
        <v>0</v>
      </c>
      <c r="E24" s="139">
        <f>Inputs!H229</f>
        <v>0</v>
      </c>
      <c r="F24" s="139">
        <f>Inputs!I229</f>
        <v>0</v>
      </c>
      <c r="G24" s="139">
        <f>Inputs!J229</f>
        <v>0</v>
      </c>
      <c r="H24" s="140">
        <f>SUM(B24:G24)</f>
        <v>0</v>
      </c>
    </row>
    <row r="26" spans="1:8" ht="12.75" customHeight="1" x14ac:dyDescent="0.2">
      <c r="A26" s="1" t="str">
        <f>" "</f>
        <v xml:space="preserve"> </v>
      </c>
    </row>
    <row r="27" spans="1:8" ht="12.75" customHeight="1" x14ac:dyDescent="0.2">
      <c r="A27" s="1" t="str">
        <f>" "</f>
        <v xml:space="preserve"> </v>
      </c>
    </row>
  </sheetData>
  <mergeCells count="4">
    <mergeCell ref="A1:D1"/>
    <mergeCell ref="A2:D2"/>
    <mergeCell ref="A3:D3"/>
    <mergeCell ref="A4:D4"/>
  </mergeCells>
  <pageMargins left="0.25" right="0.25" top="0.5" bottom="0.5" header="0.5" footer="0.5"/>
  <pageSetup paperSize="9" fitToHeight="32767" orientation="landscape"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I37"/>
  <sheetViews>
    <sheetView zoomScaleNormal="100" workbookViewId="0"/>
  </sheetViews>
  <sheetFormatPr defaultRowHeight="12.75" customHeight="1" outlineLevelRow="1" x14ac:dyDescent="0.2"/>
  <cols>
    <col min="1" max="1" width="19.5703125" customWidth="1"/>
    <col min="2" max="2" width="5.85546875" customWidth="1"/>
    <col min="3" max="3" width="8.5703125" customWidth="1"/>
    <col min="4" max="4" width="8.7109375" customWidth="1"/>
    <col min="5" max="6" width="8.5703125" customWidth="1"/>
    <col min="7" max="7" width="8.85546875" customWidth="1"/>
    <col min="8" max="8" width="8.7109375" customWidth="1"/>
    <col min="9" max="9" width="5.85546875" customWidth="1"/>
  </cols>
  <sheetData>
    <row r="1" spans="1:9" ht="12.75" customHeight="1" x14ac:dyDescent="0.2">
      <c r="A1" s="320" t="str">
        <f>Inputs!D7</f>
        <v>ABC Corp.</v>
      </c>
      <c r="B1" s="320"/>
      <c r="C1" s="320"/>
      <c r="D1" s="320"/>
    </row>
    <row r="2" spans="1:9" ht="12.75" customHeight="1" x14ac:dyDescent="0.2">
      <c r="A2" s="320" t="e">
        <f>TEXT('(FnCalls 1)'!A41,"m/d/yyyy")&amp;" to "&amp;TEXT('(FnCalls 1)'!A47-1,"m/d/yyyy")&amp;", Scenario "&amp;1</f>
        <v>#VALUE!</v>
      </c>
      <c r="B2" s="320"/>
      <c r="C2" s="320"/>
      <c r="D2" s="320"/>
    </row>
    <row r="3" spans="1:9" ht="12.75" customHeight="1" x14ac:dyDescent="0.2">
      <c r="A3" s="320" t="str">
        <f>"Balance Sheet"</f>
        <v>Balance Sheet</v>
      </c>
      <c r="B3" s="320"/>
      <c r="C3" s="320"/>
      <c r="D3" s="320"/>
    </row>
    <row r="4" spans="1:9" ht="12.75" customHeight="1" x14ac:dyDescent="0.2">
      <c r="A4" s="320" t="str">
        <f>""</f>
        <v/>
      </c>
      <c r="B4" s="320"/>
      <c r="C4" s="320"/>
      <c r="D4" s="320"/>
    </row>
    <row r="5" spans="1:9" ht="12.75" customHeight="1" x14ac:dyDescent="0.2">
      <c r="B5" s="10" t="str">
        <f>'(FnCalls 1)'!H29</f>
        <v>2010</v>
      </c>
      <c r="C5" s="11" t="str">
        <f>'(FnCalls 1)'!F41</f>
        <v>MMM 2011</v>
      </c>
      <c r="D5" s="11" t="str">
        <f>'(FnCalls 1)'!F42</f>
        <v>MMM 2011</v>
      </c>
      <c r="E5" s="11" t="str">
        <f>'(FnCalls 1)'!F43</f>
        <v>MMM 2011</v>
      </c>
      <c r="F5" s="11" t="str">
        <f>'(FnCalls 1)'!F44</f>
        <v>MMM 2011</v>
      </c>
      <c r="G5" s="11" t="str">
        <f>'(FnCalls 1)'!F45</f>
        <v>MMM 2011</v>
      </c>
      <c r="H5" s="11" t="str">
        <f>'(FnCalls 1)'!F46</f>
        <v>MMM 2011</v>
      </c>
      <c r="I5" s="94" t="str">
        <f>'(FnCalls 1)'!H41</f>
        <v>2011</v>
      </c>
    </row>
    <row r="6" spans="1:9" ht="12.75" customHeight="1" x14ac:dyDescent="0.2">
      <c r="A6" s="128" t="str">
        <f>Labels!B14</f>
        <v>Assets</v>
      </c>
      <c r="B6" s="141"/>
      <c r="C6" s="141"/>
      <c r="D6" s="141"/>
      <c r="E6" s="141"/>
      <c r="F6" s="141"/>
      <c r="G6" s="141"/>
      <c r="H6" s="141"/>
      <c r="I6" s="130"/>
    </row>
    <row r="7" spans="1:9" ht="12.75" customHeight="1" x14ac:dyDescent="0.2">
      <c r="A7" s="142" t="str">
        <f>"   "&amp;Labels!B189</f>
        <v xml:space="preserve">   Short Term Assets</v>
      </c>
      <c r="B7" s="143"/>
      <c r="C7" s="143"/>
      <c r="D7" s="143"/>
      <c r="E7" s="143"/>
      <c r="F7" s="143"/>
      <c r="G7" s="143"/>
      <c r="H7" s="143"/>
      <c r="I7" s="136"/>
    </row>
    <row r="8" spans="1:9" ht="12.75" customHeight="1" x14ac:dyDescent="0.2">
      <c r="A8" s="144" t="str">
        <f>"      "&amp;Labels!B190</f>
        <v xml:space="preserve">      Cash</v>
      </c>
      <c r="B8" s="135">
        <f>'(Tables)'!B368</f>
        <v>0</v>
      </c>
      <c r="C8" s="135">
        <f>CFStmt!B27</f>
        <v>0</v>
      </c>
      <c r="D8" s="135">
        <f>CFStmt!C27</f>
        <v>0</v>
      </c>
      <c r="E8" s="135">
        <f>CFStmt!D27</f>
        <v>0</v>
      </c>
      <c r="F8" s="135">
        <f>CFStmt!E27</f>
        <v>0</v>
      </c>
      <c r="G8" s="135">
        <f>CFStmt!F27</f>
        <v>0</v>
      </c>
      <c r="H8" s="135">
        <f>CFStmt!G27</f>
        <v>0</v>
      </c>
      <c r="I8" s="136">
        <f>H8</f>
        <v>0</v>
      </c>
    </row>
    <row r="9" spans="1:9" ht="12.75" customHeight="1" x14ac:dyDescent="0.2">
      <c r="A9" s="144" t="str">
        <f>"      "&amp;Labels!B191</f>
        <v xml:space="preserve">      Accounts Receivable</v>
      </c>
      <c r="B9" s="135">
        <f>'(Tables)'!B369</f>
        <v>0</v>
      </c>
      <c r="C9" s="135">
        <f>Assets!C12</f>
        <v>0</v>
      </c>
      <c r="D9" s="135">
        <f>Assets!D12</f>
        <v>0</v>
      </c>
      <c r="E9" s="135">
        <f>Assets!E12</f>
        <v>0</v>
      </c>
      <c r="F9" s="135">
        <f>Assets!F12</f>
        <v>0</v>
      </c>
      <c r="G9" s="135">
        <f>Assets!G12</f>
        <v>0</v>
      </c>
      <c r="H9" s="135">
        <f>Assets!H12</f>
        <v>0</v>
      </c>
      <c r="I9" s="136">
        <f>H9</f>
        <v>0</v>
      </c>
    </row>
    <row r="10" spans="1:9" ht="12.75" customHeight="1" x14ac:dyDescent="0.2">
      <c r="A10" s="144" t="str">
        <f>"      "&amp;Labels!B192</f>
        <v xml:space="preserve">      Inventory</v>
      </c>
      <c r="B10" s="135">
        <f>'(Tables)'!B370</f>
        <v>0</v>
      </c>
      <c r="C10" s="135">
        <f>Assets!C16+Assets!C15</f>
        <v>0</v>
      </c>
      <c r="D10" s="135">
        <f>Assets!D16+Assets!D15</f>
        <v>0</v>
      </c>
      <c r="E10" s="135">
        <f>Assets!E16+Assets!E15</f>
        <v>0</v>
      </c>
      <c r="F10" s="135">
        <f>Assets!F16+Assets!F15</f>
        <v>0</v>
      </c>
      <c r="G10" s="135">
        <f>Assets!G16+Assets!G15</f>
        <v>0</v>
      </c>
      <c r="H10" s="135">
        <f>Assets!H16+Assets!H15</f>
        <v>0</v>
      </c>
      <c r="I10" s="136">
        <f>H10</f>
        <v>0</v>
      </c>
    </row>
    <row r="11" spans="1:9" ht="12.75" customHeight="1" x14ac:dyDescent="0.2">
      <c r="A11" s="142" t="str">
        <f>"      "&amp;Labels!C189</f>
        <v xml:space="preserve">      Subtotal</v>
      </c>
      <c r="B11" s="143">
        <f>SUM('(Tables)'!B368:B370)</f>
        <v>0</v>
      </c>
      <c r="C11" s="143">
        <f t="shared" ref="C11:H11" si="0">SUM(C8:C10)</f>
        <v>0</v>
      </c>
      <c r="D11" s="143">
        <f t="shared" si="0"/>
        <v>0</v>
      </c>
      <c r="E11" s="143">
        <f t="shared" si="0"/>
        <v>0</v>
      </c>
      <c r="F11" s="143">
        <f t="shared" si="0"/>
        <v>0</v>
      </c>
      <c r="G11" s="143">
        <f t="shared" si="0"/>
        <v>0</v>
      </c>
      <c r="H11" s="143">
        <f t="shared" si="0"/>
        <v>0</v>
      </c>
      <c r="I11" s="136">
        <f>SUM(H8:H10)</f>
        <v>0</v>
      </c>
    </row>
    <row r="12" spans="1:9" ht="12.75" customHeight="1" x14ac:dyDescent="0.2">
      <c r="A12" s="142" t="str">
        <f>"   "&amp;Labels!B193</f>
        <v xml:space="preserve">   Long Term Assets</v>
      </c>
      <c r="B12" s="143">
        <f>'(Tables)'!B372</f>
        <v>0</v>
      </c>
      <c r="C12" s="143">
        <f>Assets!C40</f>
        <v>0</v>
      </c>
      <c r="D12" s="143">
        <f>Assets!D40</f>
        <v>0</v>
      </c>
      <c r="E12" s="143">
        <f>Assets!E40</f>
        <v>0</v>
      </c>
      <c r="F12" s="143">
        <f>Assets!F40</f>
        <v>0</v>
      </c>
      <c r="G12" s="143">
        <f>Assets!G40</f>
        <v>0</v>
      </c>
      <c r="H12" s="143">
        <f>Assets!H40</f>
        <v>0</v>
      </c>
      <c r="I12" s="136">
        <f>H12</f>
        <v>0</v>
      </c>
    </row>
    <row r="13" spans="1:9" ht="12.75" customHeight="1" x14ac:dyDescent="0.2">
      <c r="A13" s="134" t="str">
        <f>"   "&amp;Labels!C188</f>
        <v xml:space="preserve">   Total</v>
      </c>
      <c r="B13" s="145">
        <f>SUM('(Tables)'!B371:B372)</f>
        <v>0</v>
      </c>
      <c r="C13" s="145">
        <f t="shared" ref="C13:H13" si="1">SUM(C11:C12)</f>
        <v>0</v>
      </c>
      <c r="D13" s="145">
        <f t="shared" si="1"/>
        <v>0</v>
      </c>
      <c r="E13" s="145">
        <f t="shared" si="1"/>
        <v>0</v>
      </c>
      <c r="F13" s="145">
        <f t="shared" si="1"/>
        <v>0</v>
      </c>
      <c r="G13" s="145">
        <f t="shared" si="1"/>
        <v>0</v>
      </c>
      <c r="H13" s="145">
        <f t="shared" si="1"/>
        <v>0</v>
      </c>
      <c r="I13" s="136">
        <f>SUM(H11:H12)</f>
        <v>0</v>
      </c>
    </row>
    <row r="14" spans="1:9" ht="12.75" customHeight="1" x14ac:dyDescent="0.2">
      <c r="A14" s="91"/>
      <c r="B14" s="6"/>
      <c r="C14" s="6"/>
      <c r="D14" s="6"/>
      <c r="E14" s="6"/>
      <c r="F14" s="6"/>
      <c r="G14" s="6"/>
      <c r="H14" s="6"/>
      <c r="I14" s="91"/>
    </row>
    <row r="15" spans="1:9" ht="12.75" customHeight="1" x14ac:dyDescent="0.2">
      <c r="A15" s="134" t="str">
        <f>Labels!B96</f>
        <v>Liabilities</v>
      </c>
      <c r="B15" s="145"/>
      <c r="C15" s="145"/>
      <c r="D15" s="145"/>
      <c r="E15" s="145"/>
      <c r="F15" s="145"/>
      <c r="G15" s="145"/>
      <c r="H15" s="145"/>
      <c r="I15" s="136"/>
    </row>
    <row r="16" spans="1:9" ht="12.75" customHeight="1" x14ac:dyDescent="0.2">
      <c r="A16" s="142" t="str">
        <f>"   "&amp;Labels!B238</f>
        <v xml:space="preserve">   Short Liabilities</v>
      </c>
      <c r="B16" s="143"/>
      <c r="C16" s="143"/>
      <c r="D16" s="143"/>
      <c r="E16" s="143"/>
      <c r="F16" s="143"/>
      <c r="G16" s="143"/>
      <c r="H16" s="143"/>
      <c r="I16" s="136"/>
    </row>
    <row r="17" spans="1:9" ht="12.75" customHeight="1" x14ac:dyDescent="0.2">
      <c r="A17" s="144" t="str">
        <f>"      "&amp;Labels!B239</f>
        <v xml:space="preserve">      Accounts Payable</v>
      </c>
      <c r="B17" s="135">
        <f>'(Tables)'!B380</f>
        <v>0</v>
      </c>
      <c r="C17" s="135">
        <f>Liab!C12</f>
        <v>0</v>
      </c>
      <c r="D17" s="135">
        <f>Liab!D12</f>
        <v>0</v>
      </c>
      <c r="E17" s="135">
        <f>Liab!E12</f>
        <v>0</v>
      </c>
      <c r="F17" s="135">
        <f>Liab!F12</f>
        <v>0</v>
      </c>
      <c r="G17" s="135">
        <f>Liab!G12</f>
        <v>0</v>
      </c>
      <c r="H17" s="135">
        <f>Liab!H12</f>
        <v>0</v>
      </c>
      <c r="I17" s="136">
        <f>H17</f>
        <v>0</v>
      </c>
    </row>
    <row r="18" spans="1:9" ht="12.75" customHeight="1" x14ac:dyDescent="0.2">
      <c r="A18" s="144" t="str">
        <f>"      "&amp;Labels!B240</f>
        <v xml:space="preserve">      Short Term Debt</v>
      </c>
      <c r="B18" s="135">
        <f>'(Tables)'!B381</f>
        <v>0</v>
      </c>
      <c r="C18" s="135">
        <f>Inputs!E211</f>
        <v>0</v>
      </c>
      <c r="D18" s="135">
        <f>Inputs!F211</f>
        <v>0</v>
      </c>
      <c r="E18" s="135">
        <f>Inputs!G211</f>
        <v>0</v>
      </c>
      <c r="F18" s="135">
        <f>Inputs!H211</f>
        <v>0</v>
      </c>
      <c r="G18" s="135">
        <f>Inputs!I211</f>
        <v>0</v>
      </c>
      <c r="H18" s="135">
        <f>Inputs!J211</f>
        <v>0</v>
      </c>
      <c r="I18" s="136">
        <f>H18</f>
        <v>0</v>
      </c>
    </row>
    <row r="19" spans="1:9" ht="12.75" customHeight="1" x14ac:dyDescent="0.2">
      <c r="A19" s="144" t="str">
        <f>"      "&amp;Labels!B241</f>
        <v xml:space="preserve">      Deferred Revenue</v>
      </c>
      <c r="B19" s="135">
        <f>'(Tables)'!B382</f>
        <v>0</v>
      </c>
      <c r="C19" s="135">
        <f t="shared" ref="C19:H19" si="2">0+0</f>
        <v>0</v>
      </c>
      <c r="D19" s="135">
        <f t="shared" si="2"/>
        <v>0</v>
      </c>
      <c r="E19" s="135">
        <f t="shared" si="2"/>
        <v>0</v>
      </c>
      <c r="F19" s="135">
        <f t="shared" si="2"/>
        <v>0</v>
      </c>
      <c r="G19" s="135">
        <f t="shared" si="2"/>
        <v>0</v>
      </c>
      <c r="H19" s="135">
        <f t="shared" si="2"/>
        <v>0</v>
      </c>
      <c r="I19" s="136">
        <f>H19</f>
        <v>0</v>
      </c>
    </row>
    <row r="20" spans="1:9" ht="12.75" customHeight="1" x14ac:dyDescent="0.2">
      <c r="A20" s="142" t="str">
        <f>"      "&amp;Labels!C238</f>
        <v xml:space="preserve">      Subtotal</v>
      </c>
      <c r="B20" s="143">
        <f>SUM('(Tables)'!B380:B382)</f>
        <v>0</v>
      </c>
      <c r="C20" s="143">
        <f t="shared" ref="C20:H20" si="3">SUM(C17:C19)</f>
        <v>0</v>
      </c>
      <c r="D20" s="143">
        <f t="shared" si="3"/>
        <v>0</v>
      </c>
      <c r="E20" s="143">
        <f t="shared" si="3"/>
        <v>0</v>
      </c>
      <c r="F20" s="143">
        <f t="shared" si="3"/>
        <v>0</v>
      </c>
      <c r="G20" s="143">
        <f t="shared" si="3"/>
        <v>0</v>
      </c>
      <c r="H20" s="143">
        <f t="shared" si="3"/>
        <v>0</v>
      </c>
      <c r="I20" s="136">
        <f>SUM(H17:H19)</f>
        <v>0</v>
      </c>
    </row>
    <row r="21" spans="1:9" ht="12.75" customHeight="1" x14ac:dyDescent="0.2">
      <c r="A21" s="142" t="str">
        <f>"   "&amp;Labels!B242</f>
        <v xml:space="preserve">   Long Liabilities</v>
      </c>
      <c r="B21" s="143"/>
      <c r="C21" s="143"/>
      <c r="D21" s="143"/>
      <c r="E21" s="143"/>
      <c r="F21" s="143"/>
      <c r="G21" s="143"/>
      <c r="H21" s="143"/>
      <c r="I21" s="136"/>
    </row>
    <row r="22" spans="1:9" ht="12.75" customHeight="1" x14ac:dyDescent="0.2">
      <c r="A22" s="144" t="str">
        <f>"      "&amp;Labels!B243</f>
        <v xml:space="preserve">      Long Term Loans</v>
      </c>
      <c r="B22" s="135">
        <f>'(Tables)'!B385</f>
        <v>0</v>
      </c>
      <c r="C22" s="135">
        <f>Inputs!E218</f>
        <v>0</v>
      </c>
      <c r="D22" s="135">
        <f>Inputs!F218</f>
        <v>0</v>
      </c>
      <c r="E22" s="135">
        <f>Inputs!G218</f>
        <v>0</v>
      </c>
      <c r="F22" s="135">
        <f>Inputs!H218</f>
        <v>0</v>
      </c>
      <c r="G22" s="135">
        <f>Inputs!I218</f>
        <v>0</v>
      </c>
      <c r="H22" s="135">
        <f>Inputs!J218</f>
        <v>0</v>
      </c>
      <c r="I22" s="136">
        <f>H22</f>
        <v>0</v>
      </c>
    </row>
    <row r="23" spans="1:9" ht="12.75" customHeight="1" x14ac:dyDescent="0.2">
      <c r="A23" s="144" t="str">
        <f>"      "&amp;Labels!B244</f>
        <v xml:space="preserve">      Bonds</v>
      </c>
      <c r="B23" s="135">
        <f>'(Tables)'!B386</f>
        <v>0</v>
      </c>
      <c r="C23" s="135">
        <f>0</f>
        <v>0</v>
      </c>
      <c r="D23" s="135">
        <f>0</f>
        <v>0</v>
      </c>
      <c r="E23" s="135">
        <f>0</f>
        <v>0</v>
      </c>
      <c r="F23" s="135">
        <f>0</f>
        <v>0</v>
      </c>
      <c r="G23" s="135">
        <f>0</f>
        <v>0</v>
      </c>
      <c r="H23" s="135">
        <f>0</f>
        <v>0</v>
      </c>
      <c r="I23" s="136">
        <f>H23</f>
        <v>0</v>
      </c>
    </row>
    <row r="24" spans="1:9" ht="12.75" customHeight="1" x14ac:dyDescent="0.2">
      <c r="A24" s="142" t="str">
        <f>"      "&amp;Labels!C242</f>
        <v xml:space="preserve">      Subtotal</v>
      </c>
      <c r="B24" s="143">
        <f>SUM('(Tables)'!B385:B386)</f>
        <v>0</v>
      </c>
      <c r="C24" s="143">
        <f t="shared" ref="C24:H24" si="4">SUM(C22:C23)</f>
        <v>0</v>
      </c>
      <c r="D24" s="143">
        <f t="shared" si="4"/>
        <v>0</v>
      </c>
      <c r="E24" s="143">
        <f t="shared" si="4"/>
        <v>0</v>
      </c>
      <c r="F24" s="143">
        <f t="shared" si="4"/>
        <v>0</v>
      </c>
      <c r="G24" s="143">
        <f t="shared" si="4"/>
        <v>0</v>
      </c>
      <c r="H24" s="143">
        <f t="shared" si="4"/>
        <v>0</v>
      </c>
      <c r="I24" s="136">
        <f>SUM(H22:H23)</f>
        <v>0</v>
      </c>
    </row>
    <row r="25" spans="1:9" ht="12.75" customHeight="1" x14ac:dyDescent="0.2">
      <c r="A25" s="134" t="str">
        <f>"   "&amp;Labels!C237</f>
        <v xml:space="preserve">   Total</v>
      </c>
      <c r="B25" s="145">
        <f>SUM('(Tables)'!B383,'(Tables)'!B387)</f>
        <v>0</v>
      </c>
      <c r="C25" s="145">
        <f t="shared" ref="C25:H25" si="5">SUM(C20,C24)</f>
        <v>0</v>
      </c>
      <c r="D25" s="145">
        <f t="shared" si="5"/>
        <v>0</v>
      </c>
      <c r="E25" s="145">
        <f t="shared" si="5"/>
        <v>0</v>
      </c>
      <c r="F25" s="145">
        <f t="shared" si="5"/>
        <v>0</v>
      </c>
      <c r="G25" s="145">
        <f t="shared" si="5"/>
        <v>0</v>
      </c>
      <c r="H25" s="145">
        <f t="shared" si="5"/>
        <v>0</v>
      </c>
      <c r="I25" s="136">
        <f>SUM(H20,H24)</f>
        <v>0</v>
      </c>
    </row>
    <row r="26" spans="1:9" ht="12.75" customHeight="1" x14ac:dyDescent="0.2">
      <c r="A26" s="91"/>
      <c r="B26" s="6"/>
      <c r="C26" s="6"/>
      <c r="D26" s="6"/>
      <c r="E26" s="6"/>
      <c r="F26" s="6"/>
      <c r="G26" s="6"/>
      <c r="H26" s="6"/>
      <c r="I26" s="91"/>
    </row>
    <row r="27" spans="1:9" ht="12.75" customHeight="1" x14ac:dyDescent="0.2">
      <c r="A27" s="134" t="str">
        <f>Labels!B67</f>
        <v>Equity</v>
      </c>
      <c r="B27" s="145"/>
      <c r="C27" s="145"/>
      <c r="D27" s="145"/>
      <c r="E27" s="145"/>
      <c r="F27" s="145"/>
      <c r="G27" s="145"/>
      <c r="H27" s="145"/>
      <c r="I27" s="136"/>
    </row>
    <row r="28" spans="1:9" ht="12.75" customHeight="1" x14ac:dyDescent="0.2">
      <c r="A28" s="142" t="str">
        <f>"   "&amp;Labels!B227</f>
        <v xml:space="preserve">   Paid in Capital</v>
      </c>
      <c r="B28" s="143">
        <f>'(Tables)'!B391</f>
        <v>0</v>
      </c>
      <c r="C28" s="143">
        <f>'(Tables)'!C396</f>
        <v>0</v>
      </c>
      <c r="D28" s="143">
        <f>'(Tables)'!D396</f>
        <v>0</v>
      </c>
      <c r="E28" s="143">
        <f>'(Tables)'!E396</f>
        <v>0</v>
      </c>
      <c r="F28" s="143">
        <f>'(Tables)'!F396</f>
        <v>0</v>
      </c>
      <c r="G28" s="143">
        <f>'(Tables)'!G396</f>
        <v>0</v>
      </c>
      <c r="H28" s="143">
        <f>'(Tables)'!H396</f>
        <v>0</v>
      </c>
      <c r="I28" s="136">
        <f>H28</f>
        <v>0</v>
      </c>
    </row>
    <row r="29" spans="1:9" ht="12.75" customHeight="1" x14ac:dyDescent="0.2">
      <c r="A29" s="142" t="str">
        <f>"   "&amp;Labels!B228</f>
        <v xml:space="preserve">   Retained Earnings</v>
      </c>
      <c r="B29" s="143">
        <f>'(Tables)'!B392</f>
        <v>0</v>
      </c>
      <c r="C29" s="143">
        <f>'(Tables)'!C399</f>
        <v>0</v>
      </c>
      <c r="D29" s="143">
        <f>'(Tables)'!D399</f>
        <v>0</v>
      </c>
      <c r="E29" s="143">
        <f>'(Tables)'!E399</f>
        <v>0</v>
      </c>
      <c r="F29" s="143">
        <f>'(Tables)'!F399</f>
        <v>0</v>
      </c>
      <c r="G29" s="143">
        <f>'(Tables)'!G399</f>
        <v>0</v>
      </c>
      <c r="H29" s="143">
        <f>'(Tables)'!H399</f>
        <v>0</v>
      </c>
      <c r="I29" s="136">
        <f>H29</f>
        <v>0</v>
      </c>
    </row>
    <row r="30" spans="1:9" ht="12.75" customHeight="1" x14ac:dyDescent="0.2">
      <c r="A30" s="131" t="str">
        <f>"   "&amp;Labels!C226</f>
        <v xml:space="preserve">   Total</v>
      </c>
      <c r="B30" s="127">
        <f>SUM('(Tables)'!B391:B392)</f>
        <v>0</v>
      </c>
      <c r="C30" s="127">
        <f t="shared" ref="C30:H30" si="6">SUM(C28:C29)</f>
        <v>0</v>
      </c>
      <c r="D30" s="127">
        <f t="shared" si="6"/>
        <v>0</v>
      </c>
      <c r="E30" s="127">
        <f t="shared" si="6"/>
        <v>0</v>
      </c>
      <c r="F30" s="127">
        <f t="shared" si="6"/>
        <v>0</v>
      </c>
      <c r="G30" s="127">
        <f t="shared" si="6"/>
        <v>0</v>
      </c>
      <c r="H30" s="127">
        <f t="shared" si="6"/>
        <v>0</v>
      </c>
      <c r="I30" s="146">
        <f>SUM(H28:H29)</f>
        <v>0</v>
      </c>
    </row>
    <row r="32" spans="1:9" ht="12.75" customHeight="1" x14ac:dyDescent="0.2">
      <c r="A32" s="1" t="str">
        <f>" "</f>
        <v xml:space="preserve"> </v>
      </c>
    </row>
    <row r="33" spans="1:9" ht="12.75" hidden="1" customHeight="1" outlineLevel="1" x14ac:dyDescent="0.2">
      <c r="B33" s="10" t="str">
        <f>'(FnCalls 1)'!H29</f>
        <v>2010</v>
      </c>
      <c r="C33" s="11" t="str">
        <f>'(FnCalls 1)'!F41</f>
        <v>MMM 2011</v>
      </c>
      <c r="D33" s="11" t="str">
        <f>'(FnCalls 1)'!F42</f>
        <v>MMM 2011</v>
      </c>
      <c r="E33" s="11" t="str">
        <f>'(FnCalls 1)'!F43</f>
        <v>MMM 2011</v>
      </c>
      <c r="F33" s="11" t="str">
        <f>'(FnCalls 1)'!F44</f>
        <v>MMM 2011</v>
      </c>
      <c r="G33" s="11" t="str">
        <f>'(FnCalls 1)'!F45</f>
        <v>MMM 2011</v>
      </c>
      <c r="H33" s="11" t="str">
        <f>'(FnCalls 1)'!F46</f>
        <v>MMM 2011</v>
      </c>
      <c r="I33" s="94" t="str">
        <f>'(FnCalls 1)'!H41</f>
        <v>2011</v>
      </c>
    </row>
    <row r="34" spans="1:9" ht="12.75" hidden="1" customHeight="1" outlineLevel="1" x14ac:dyDescent="0.2">
      <c r="A34" s="91" t="str">
        <f>Labels!B17</f>
        <v>Balance Check</v>
      </c>
      <c r="B34" s="147">
        <f>'(Tables)'!B402</f>
        <v>0</v>
      </c>
      <c r="C34" s="147">
        <f t="shared" ref="C34:H34" si="7">C13-C25-C30</f>
        <v>0</v>
      </c>
      <c r="D34" s="147">
        <f t="shared" si="7"/>
        <v>0</v>
      </c>
      <c r="E34" s="147">
        <f t="shared" si="7"/>
        <v>0</v>
      </c>
      <c r="F34" s="147">
        <f t="shared" si="7"/>
        <v>0</v>
      </c>
      <c r="G34" s="147">
        <f t="shared" si="7"/>
        <v>0</v>
      </c>
      <c r="H34" s="147">
        <f t="shared" si="7"/>
        <v>0</v>
      </c>
      <c r="I34" s="148">
        <f>H34</f>
        <v>0</v>
      </c>
    </row>
    <row r="35" spans="1:9" ht="12.75" hidden="1" customHeight="1" outlineLevel="1" collapsed="1" x14ac:dyDescent="0.2"/>
    <row r="36" spans="1:9" ht="12.75" customHeight="1" collapsed="1" x14ac:dyDescent="0.2">
      <c r="A36" s="1" t="str">
        <f>" "</f>
        <v xml:space="preserve"> </v>
      </c>
    </row>
    <row r="37" spans="1:9" ht="12.75" customHeight="1" x14ac:dyDescent="0.2">
      <c r="A37" s="1" t="str">
        <f>" "</f>
        <v xml:space="preserve"> </v>
      </c>
    </row>
  </sheetData>
  <mergeCells count="4">
    <mergeCell ref="A1:D1"/>
    <mergeCell ref="A2:D2"/>
    <mergeCell ref="A3:D3"/>
    <mergeCell ref="A4:D4"/>
  </mergeCells>
  <pageMargins left="0.25" right="0.25" top="0.5" bottom="0.5" header="0.5" footer="0.5"/>
  <pageSetup paperSize="9" fitToHeight="32767" orientation="landscape"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H36"/>
  <sheetViews>
    <sheetView zoomScaleNormal="100" workbookViewId="0"/>
  </sheetViews>
  <sheetFormatPr defaultRowHeight="12.75" customHeight="1" outlineLevelRow="1" x14ac:dyDescent="0.2"/>
  <cols>
    <col min="1" max="1" width="24.85546875" customWidth="1"/>
    <col min="2" max="2" width="8.5703125" customWidth="1"/>
    <col min="3" max="3" width="8.7109375" customWidth="1"/>
    <col min="4" max="5" width="8.5703125" customWidth="1"/>
    <col min="6" max="6" width="8.85546875" customWidth="1"/>
    <col min="7" max="7" width="8.7109375" customWidth="1"/>
    <col min="8" max="8" width="5.85546875" customWidth="1"/>
  </cols>
  <sheetData>
    <row r="1" spans="1:8" ht="12.75" customHeight="1" x14ac:dyDescent="0.2">
      <c r="A1" s="320" t="str">
        <f>Inputs!D7</f>
        <v>ABC Corp.</v>
      </c>
      <c r="B1" s="320"/>
      <c r="C1" s="320"/>
      <c r="D1" s="320"/>
    </row>
    <row r="2" spans="1:8" ht="12.75" customHeight="1" x14ac:dyDescent="0.2">
      <c r="A2" s="320" t="e">
        <f>TEXT('(FnCalls 1)'!A41,"m/d/yyyy")&amp;" to "&amp;TEXT('(FnCalls 1)'!A47-1,"m/d/yyyy")&amp;", Scenario "&amp;1</f>
        <v>#VALUE!</v>
      </c>
      <c r="B2" s="320"/>
      <c r="C2" s="320"/>
      <c r="D2" s="320"/>
    </row>
    <row r="3" spans="1:8" ht="12.75" customHeight="1" x14ac:dyDescent="0.2">
      <c r="A3" s="320" t="str">
        <f>"Cash Flow Statement"</f>
        <v>Cash Flow Statement</v>
      </c>
      <c r="B3" s="320"/>
      <c r="C3" s="320"/>
      <c r="D3" s="320"/>
    </row>
    <row r="4" spans="1:8" ht="12.75" customHeight="1" x14ac:dyDescent="0.2">
      <c r="A4" s="320" t="str">
        <f>""</f>
        <v/>
      </c>
      <c r="B4" s="320"/>
      <c r="C4" s="320"/>
      <c r="D4" s="320"/>
    </row>
    <row r="5" spans="1:8" ht="12.75" customHeight="1" x14ac:dyDescent="0.2">
      <c r="B5" s="10" t="str">
        <f>'(FnCalls 1)'!F41</f>
        <v>MMM 2011</v>
      </c>
      <c r="C5" s="11" t="str">
        <f>'(FnCalls 1)'!F42</f>
        <v>MMM 2011</v>
      </c>
      <c r="D5" s="11" t="str">
        <f>'(FnCalls 1)'!F43</f>
        <v>MMM 2011</v>
      </c>
      <c r="E5" s="11" t="str">
        <f>'(FnCalls 1)'!F44</f>
        <v>MMM 2011</v>
      </c>
      <c r="F5" s="11" t="str">
        <f>'(FnCalls 1)'!F45</f>
        <v>MMM 2011</v>
      </c>
      <c r="G5" s="11" t="str">
        <f>'(FnCalls 1)'!F46</f>
        <v>MMM 2011</v>
      </c>
      <c r="H5" s="94" t="str">
        <f>'(FnCalls 1)'!H41</f>
        <v>2011</v>
      </c>
    </row>
    <row r="6" spans="1:8" ht="12.75" customHeight="1" x14ac:dyDescent="0.2">
      <c r="A6" s="91" t="str">
        <f>Labels!B27</f>
        <v>Starting Cash</v>
      </c>
      <c r="B6" s="149">
        <f>'(Tables)'!B247</f>
        <v>0</v>
      </c>
      <c r="C6" s="149">
        <f>B27</f>
        <v>0</v>
      </c>
      <c r="D6" s="149">
        <f>C27</f>
        <v>0</v>
      </c>
      <c r="E6" s="149">
        <f>D27</f>
        <v>0</v>
      </c>
      <c r="F6" s="149">
        <f>E27</f>
        <v>0</v>
      </c>
      <c r="G6" s="149">
        <f>F27</f>
        <v>0</v>
      </c>
      <c r="H6" s="140">
        <f>B6</f>
        <v>0</v>
      </c>
    </row>
    <row r="8" spans="1:8" ht="12.75" customHeight="1" x14ac:dyDescent="0.2">
      <c r="A8" s="128" t="str">
        <f>Labels!B26</f>
        <v>Sources of Cash</v>
      </c>
      <c r="B8" s="141"/>
      <c r="C8" s="141"/>
      <c r="D8" s="141"/>
      <c r="E8" s="141"/>
      <c r="F8" s="141"/>
      <c r="G8" s="141"/>
      <c r="H8" s="130"/>
    </row>
    <row r="9" spans="1:8" ht="12.75" customHeight="1" x14ac:dyDescent="0.2">
      <c r="A9" s="142" t="str">
        <f>"   "&amp;Labels!B196</f>
        <v xml:space="preserve">   Net Income</v>
      </c>
      <c r="B9" s="135">
        <f>IncStmt!B21</f>
        <v>0</v>
      </c>
      <c r="C9" s="135">
        <f>IncStmt!C21</f>
        <v>0</v>
      </c>
      <c r="D9" s="135">
        <f>IncStmt!D21</f>
        <v>0</v>
      </c>
      <c r="E9" s="135">
        <f>IncStmt!E21</f>
        <v>0</v>
      </c>
      <c r="F9" s="135">
        <f>IncStmt!F21</f>
        <v>0</v>
      </c>
      <c r="G9" s="135">
        <f>IncStmt!G21</f>
        <v>0</v>
      </c>
      <c r="H9" s="136">
        <f t="shared" ref="H9:H17" si="0">SUM(B9:G9)</f>
        <v>0</v>
      </c>
    </row>
    <row r="10" spans="1:8" ht="12.75" customHeight="1" x14ac:dyDescent="0.2">
      <c r="A10" s="142" t="str">
        <f>"   "&amp;Labels!B197</f>
        <v xml:space="preserve">   Deferred Revenue</v>
      </c>
      <c r="B10" s="135">
        <f t="shared" ref="B10:G10" si="1">0+0-0-0</f>
        <v>0</v>
      </c>
      <c r="C10" s="135">
        <f t="shared" si="1"/>
        <v>0</v>
      </c>
      <c r="D10" s="135">
        <f t="shared" si="1"/>
        <v>0</v>
      </c>
      <c r="E10" s="135">
        <f t="shared" si="1"/>
        <v>0</v>
      </c>
      <c r="F10" s="135">
        <f t="shared" si="1"/>
        <v>0</v>
      </c>
      <c r="G10" s="135">
        <f t="shared" si="1"/>
        <v>0</v>
      </c>
      <c r="H10" s="136">
        <f t="shared" si="0"/>
        <v>0</v>
      </c>
    </row>
    <row r="11" spans="1:8" ht="12.75" customHeight="1" x14ac:dyDescent="0.2">
      <c r="A11" s="142" t="str">
        <f>"   "&amp;Labels!B198</f>
        <v xml:space="preserve">   Chg Accts Payable</v>
      </c>
      <c r="B11" s="135">
        <f>'(Tables)'!B300</f>
        <v>0</v>
      </c>
      <c r="C11" s="135">
        <f>'(Tables)'!C300</f>
        <v>0</v>
      </c>
      <c r="D11" s="135">
        <f>'(Tables)'!D300</f>
        <v>0</v>
      </c>
      <c r="E11" s="135">
        <f>'(Tables)'!E300</f>
        <v>0</v>
      </c>
      <c r="F11" s="135">
        <f>'(Tables)'!F300</f>
        <v>0</v>
      </c>
      <c r="G11" s="135">
        <f>'(Tables)'!G300</f>
        <v>0</v>
      </c>
      <c r="H11" s="136">
        <f t="shared" si="0"/>
        <v>0</v>
      </c>
    </row>
    <row r="12" spans="1:8" ht="12.75" customHeight="1" x14ac:dyDescent="0.2">
      <c r="A12" s="142" t="str">
        <f>"   "&amp;Labels!B199</f>
        <v xml:space="preserve">   Chg Short-Term Debt</v>
      </c>
      <c r="B12" s="135">
        <f>'(Tables)'!B405</f>
        <v>0</v>
      </c>
      <c r="C12" s="135">
        <f>'(Tables)'!C405</f>
        <v>0</v>
      </c>
      <c r="D12" s="135">
        <f>'(Tables)'!D405</f>
        <v>0</v>
      </c>
      <c r="E12" s="135">
        <f>'(Tables)'!E405</f>
        <v>0</v>
      </c>
      <c r="F12" s="135">
        <f>'(Tables)'!F405</f>
        <v>0</v>
      </c>
      <c r="G12" s="135">
        <f>'(Tables)'!G405</f>
        <v>0</v>
      </c>
      <c r="H12" s="136">
        <f t="shared" si="0"/>
        <v>0</v>
      </c>
    </row>
    <row r="13" spans="1:8" ht="12.75" customHeight="1" x14ac:dyDescent="0.2">
      <c r="A13" s="142" t="str">
        <f>"   "&amp;Labels!B200</f>
        <v xml:space="preserve">   Depreciation &amp; Salvage</v>
      </c>
      <c r="B13" s="135">
        <f>IncStmt!B19+Assets!C63</f>
        <v>0</v>
      </c>
      <c r="C13" s="135">
        <f>IncStmt!C19+Assets!D63</f>
        <v>0</v>
      </c>
      <c r="D13" s="135">
        <f>IncStmt!D19+Assets!E63</f>
        <v>0</v>
      </c>
      <c r="E13" s="135">
        <f>IncStmt!E19+Assets!F63</f>
        <v>0</v>
      </c>
      <c r="F13" s="135">
        <f>IncStmt!F19+Assets!G63</f>
        <v>0</v>
      </c>
      <c r="G13" s="135">
        <f>IncStmt!G19+Assets!H63</f>
        <v>0</v>
      </c>
      <c r="H13" s="136">
        <f t="shared" si="0"/>
        <v>0</v>
      </c>
    </row>
    <row r="14" spans="1:8" ht="12.75" customHeight="1" x14ac:dyDescent="0.2">
      <c r="A14" s="142" t="str">
        <f>"   "&amp;Labels!B201</f>
        <v xml:space="preserve">   Chg Long-Term Debt</v>
      </c>
      <c r="B14" s="135">
        <f>'(Tables)'!B333</f>
        <v>0</v>
      </c>
      <c r="C14" s="135">
        <f>'(Tables)'!C333</f>
        <v>0</v>
      </c>
      <c r="D14" s="135">
        <f>'(Tables)'!D333</f>
        <v>0</v>
      </c>
      <c r="E14" s="135">
        <f>'(Tables)'!E333</f>
        <v>0</v>
      </c>
      <c r="F14" s="135">
        <f>'(Tables)'!F333</f>
        <v>0</v>
      </c>
      <c r="G14" s="135">
        <f>'(Tables)'!G333</f>
        <v>0</v>
      </c>
      <c r="H14" s="136">
        <f t="shared" si="0"/>
        <v>0</v>
      </c>
    </row>
    <row r="15" spans="1:8" ht="12.75" customHeight="1" x14ac:dyDescent="0.2">
      <c r="A15" s="142" t="str">
        <f>"   "&amp;Labels!B202</f>
        <v xml:space="preserve">   Chg Bond Principal</v>
      </c>
      <c r="B15" s="135">
        <f>'(Tables)'!AL408</f>
        <v>0</v>
      </c>
      <c r="C15" s="135">
        <f>'(Tables)'!AM408</f>
        <v>0</v>
      </c>
      <c r="D15" s="135">
        <f>'(Tables)'!AN408</f>
        <v>0</v>
      </c>
      <c r="E15" s="135">
        <f>'(Tables)'!AO408</f>
        <v>0</v>
      </c>
      <c r="F15" s="135">
        <f>'(Tables)'!AP408</f>
        <v>0</v>
      </c>
      <c r="G15" s="135">
        <f>'(Tables)'!AQ408</f>
        <v>0</v>
      </c>
      <c r="H15" s="136">
        <f t="shared" si="0"/>
        <v>0</v>
      </c>
    </row>
    <row r="16" spans="1:8" ht="12.75" customHeight="1" x14ac:dyDescent="0.2">
      <c r="A16" s="142" t="str">
        <f>"   "&amp;Labels!B203</f>
        <v xml:space="preserve">   Net Stock Issue</v>
      </c>
      <c r="B16" s="135">
        <f>Inputs!E227</f>
        <v>0</v>
      </c>
      <c r="C16" s="135">
        <f>Inputs!F227</f>
        <v>0</v>
      </c>
      <c r="D16" s="135">
        <f>Inputs!G227</f>
        <v>0</v>
      </c>
      <c r="E16" s="135">
        <f>Inputs!H227</f>
        <v>0</v>
      </c>
      <c r="F16" s="135">
        <f>Inputs!I227</f>
        <v>0</v>
      </c>
      <c r="G16" s="135">
        <f>Inputs!J227</f>
        <v>0</v>
      </c>
      <c r="H16" s="136">
        <f t="shared" si="0"/>
        <v>0</v>
      </c>
    </row>
    <row r="17" spans="1:8" ht="12.75" customHeight="1" x14ac:dyDescent="0.2">
      <c r="A17" s="131" t="str">
        <f>"   "&amp;Labels!C195</f>
        <v xml:space="preserve">   Total</v>
      </c>
      <c r="B17" s="127">
        <f t="shared" ref="B17:G17" si="2">SUM(B9:B16)</f>
        <v>0</v>
      </c>
      <c r="C17" s="127">
        <f t="shared" si="2"/>
        <v>0</v>
      </c>
      <c r="D17" s="127">
        <f t="shared" si="2"/>
        <v>0</v>
      </c>
      <c r="E17" s="127">
        <f t="shared" si="2"/>
        <v>0</v>
      </c>
      <c r="F17" s="127">
        <f t="shared" si="2"/>
        <v>0</v>
      </c>
      <c r="G17" s="127">
        <f t="shared" si="2"/>
        <v>0</v>
      </c>
      <c r="H17" s="146">
        <f t="shared" si="0"/>
        <v>0</v>
      </c>
    </row>
    <row r="19" spans="1:8" ht="12.75" customHeight="1" x14ac:dyDescent="0.2">
      <c r="A19" s="128" t="str">
        <f>Labels!B29</f>
        <v>Uses of Cash</v>
      </c>
      <c r="B19" s="141"/>
      <c r="C19" s="141"/>
      <c r="D19" s="141"/>
      <c r="E19" s="141"/>
      <c r="F19" s="141"/>
      <c r="G19" s="141"/>
      <c r="H19" s="130"/>
    </row>
    <row r="20" spans="1:8" ht="12.75" customHeight="1" x14ac:dyDescent="0.2">
      <c r="A20" s="142" t="str">
        <f>"   "&amp;Labels!B206</f>
        <v xml:space="preserve">   Chg Accts Receivable</v>
      </c>
      <c r="B20" s="135">
        <f>'(Tables)'!B336</f>
        <v>0</v>
      </c>
      <c r="C20" s="135">
        <f>'(Tables)'!C336</f>
        <v>0</v>
      </c>
      <c r="D20" s="135">
        <f>'(Tables)'!D336</f>
        <v>0</v>
      </c>
      <c r="E20" s="135">
        <f>'(Tables)'!E336</f>
        <v>0</v>
      </c>
      <c r="F20" s="135">
        <f>'(Tables)'!F336</f>
        <v>0</v>
      </c>
      <c r="G20" s="135">
        <f>'(Tables)'!G336</f>
        <v>0</v>
      </c>
      <c r="H20" s="136">
        <f t="shared" ref="H20:H25" si="3">SUM(B20:G20)</f>
        <v>0</v>
      </c>
    </row>
    <row r="21" spans="1:8" ht="12.75" customHeight="1" x14ac:dyDescent="0.2">
      <c r="A21" s="142" t="str">
        <f>"   "&amp;Labels!B207</f>
        <v xml:space="preserve">   Chg Inventory</v>
      </c>
      <c r="B21" s="135">
        <f>'(Tables)'!B339</f>
        <v>0</v>
      </c>
      <c r="C21" s="135">
        <f>'(Tables)'!C339</f>
        <v>0</v>
      </c>
      <c r="D21" s="135">
        <f>'(Tables)'!D339</f>
        <v>0</v>
      </c>
      <c r="E21" s="135">
        <f>'(Tables)'!E339</f>
        <v>0</v>
      </c>
      <c r="F21" s="135">
        <f>'(Tables)'!F339</f>
        <v>0</v>
      </c>
      <c r="G21" s="135">
        <f>'(Tables)'!G339</f>
        <v>0</v>
      </c>
      <c r="H21" s="136">
        <f t="shared" si="3"/>
        <v>0</v>
      </c>
    </row>
    <row r="22" spans="1:8" ht="12.75" customHeight="1" x14ac:dyDescent="0.2">
      <c r="A22" s="142" t="str">
        <f>"   "&amp;Labels!B208</f>
        <v xml:space="preserve">   Long-Term Asset Purchases</v>
      </c>
      <c r="B22" s="135">
        <f>Assets!C41</f>
        <v>0</v>
      </c>
      <c r="C22" s="135">
        <f>Assets!D41</f>
        <v>0</v>
      </c>
      <c r="D22" s="135">
        <f>Assets!E41</f>
        <v>0</v>
      </c>
      <c r="E22" s="135">
        <f>Assets!F41</f>
        <v>0</v>
      </c>
      <c r="F22" s="135">
        <f>Assets!G41</f>
        <v>0</v>
      </c>
      <c r="G22" s="135">
        <f>Assets!H41</f>
        <v>0</v>
      </c>
      <c r="H22" s="136">
        <f t="shared" si="3"/>
        <v>0</v>
      </c>
    </row>
    <row r="23" spans="1:8" ht="12.75" customHeight="1" x14ac:dyDescent="0.2">
      <c r="A23" s="142" t="str">
        <f>"   "&amp;Labels!B209</f>
        <v xml:space="preserve">   New Cap'd Development</v>
      </c>
      <c r="B23" s="135">
        <f>0</f>
        <v>0</v>
      </c>
      <c r="C23" s="135">
        <f>0</f>
        <v>0</v>
      </c>
      <c r="D23" s="135">
        <f>0</f>
        <v>0</v>
      </c>
      <c r="E23" s="135">
        <f>0</f>
        <v>0</v>
      </c>
      <c r="F23" s="135">
        <f>0</f>
        <v>0</v>
      </c>
      <c r="G23" s="135">
        <f>0</f>
        <v>0</v>
      </c>
      <c r="H23" s="136">
        <f t="shared" si="3"/>
        <v>0</v>
      </c>
    </row>
    <row r="24" spans="1:8" ht="12.75" customHeight="1" x14ac:dyDescent="0.2">
      <c r="A24" s="142" t="str">
        <f>"   "&amp;Labels!B210</f>
        <v xml:space="preserve">   Dividend</v>
      </c>
      <c r="B24" s="135">
        <f>Inputs!E229</f>
        <v>0</v>
      </c>
      <c r="C24" s="135">
        <f>Inputs!F229</f>
        <v>0</v>
      </c>
      <c r="D24" s="135">
        <f>Inputs!G229</f>
        <v>0</v>
      </c>
      <c r="E24" s="135">
        <f>Inputs!H229</f>
        <v>0</v>
      </c>
      <c r="F24" s="135">
        <f>Inputs!I229</f>
        <v>0</v>
      </c>
      <c r="G24" s="135">
        <f>Inputs!J229</f>
        <v>0</v>
      </c>
      <c r="H24" s="136">
        <f t="shared" si="3"/>
        <v>0</v>
      </c>
    </row>
    <row r="25" spans="1:8" ht="12.75" customHeight="1" x14ac:dyDescent="0.2">
      <c r="A25" s="131" t="str">
        <f>"   "&amp;Labels!C205</f>
        <v xml:space="preserve">   Total</v>
      </c>
      <c r="B25" s="127">
        <f t="shared" ref="B25:G25" si="4">SUM(B20:B24)</f>
        <v>0</v>
      </c>
      <c r="C25" s="127">
        <f t="shared" si="4"/>
        <v>0</v>
      </c>
      <c r="D25" s="127">
        <f t="shared" si="4"/>
        <v>0</v>
      </c>
      <c r="E25" s="127">
        <f t="shared" si="4"/>
        <v>0</v>
      </c>
      <c r="F25" s="127">
        <f t="shared" si="4"/>
        <v>0</v>
      </c>
      <c r="G25" s="127">
        <f t="shared" si="4"/>
        <v>0</v>
      </c>
      <c r="H25" s="146">
        <f t="shared" si="3"/>
        <v>0</v>
      </c>
    </row>
    <row r="27" spans="1:8" ht="12.75" customHeight="1" x14ac:dyDescent="0.2">
      <c r="A27" s="91" t="str">
        <f>Labels!B18</f>
        <v>Ending Cash</v>
      </c>
      <c r="B27" s="149">
        <f>'(Tables)'!C244+Inputs!E211</f>
        <v>0</v>
      </c>
      <c r="C27" s="149">
        <f>'(Tables)'!D244+Inputs!F211</f>
        <v>0</v>
      </c>
      <c r="D27" s="149">
        <f>'(Tables)'!E244+Inputs!G211</f>
        <v>0</v>
      </c>
      <c r="E27" s="149">
        <f>'(Tables)'!F244+Inputs!H211</f>
        <v>0</v>
      </c>
      <c r="F27" s="149">
        <f>'(Tables)'!G244+Inputs!I211</f>
        <v>0</v>
      </c>
      <c r="G27" s="149">
        <f>'(Tables)'!H244+Inputs!J211</f>
        <v>0</v>
      </c>
      <c r="H27" s="140">
        <f>G27</f>
        <v>0</v>
      </c>
    </row>
    <row r="29" spans="1:8" ht="12.75" customHeight="1" x14ac:dyDescent="0.2">
      <c r="A29" s="128" t="str">
        <f>Labels!B19</f>
        <v>Cash Flow</v>
      </c>
      <c r="B29" s="141">
        <f t="shared" ref="B29:G29" si="5">B27-B6</f>
        <v>0</v>
      </c>
      <c r="C29" s="141">
        <f t="shared" si="5"/>
        <v>0</v>
      </c>
      <c r="D29" s="141">
        <f t="shared" si="5"/>
        <v>0</v>
      </c>
      <c r="E29" s="141">
        <f t="shared" si="5"/>
        <v>0</v>
      </c>
      <c r="F29" s="141">
        <f t="shared" si="5"/>
        <v>0</v>
      </c>
      <c r="G29" s="141">
        <f t="shared" si="5"/>
        <v>0</v>
      </c>
      <c r="H29" s="130">
        <f>SUM(B29:G29)</f>
        <v>0</v>
      </c>
    </row>
    <row r="30" spans="1:8" ht="12.75" customHeight="1" x14ac:dyDescent="0.2">
      <c r="A30" s="131" t="str">
        <f>Labels!B23</f>
        <v>Operating Cash Flow</v>
      </c>
      <c r="B30" s="127">
        <f>B29+Inputs!E229+'(Compute)'!B184-Inputs!E227-'(Tables)'!B333-0</f>
        <v>0</v>
      </c>
      <c r="C30" s="127">
        <f>C29+Inputs!F229+'(Compute)'!C184-Inputs!F227-'(Tables)'!C333-0</f>
        <v>0</v>
      </c>
      <c r="D30" s="127">
        <f>D29+Inputs!G229+'(Compute)'!D184-Inputs!G227-'(Tables)'!D333-0</f>
        <v>0</v>
      </c>
      <c r="E30" s="127">
        <f>E29+Inputs!H229+'(Compute)'!E184-Inputs!H227-'(Tables)'!E333-0</f>
        <v>0</v>
      </c>
      <c r="F30" s="127">
        <f>F29+Inputs!I229+'(Compute)'!F184-Inputs!I227-'(Tables)'!F333-0</f>
        <v>0</v>
      </c>
      <c r="G30" s="127">
        <f>G29+Inputs!J229+'(Compute)'!G184-Inputs!J227-'(Tables)'!G333-0</f>
        <v>0</v>
      </c>
      <c r="H30" s="146">
        <f>SUM(B30:G30)</f>
        <v>0</v>
      </c>
    </row>
    <row r="32" spans="1:8" ht="12.75" customHeight="1" x14ac:dyDescent="0.2">
      <c r="A32" s="1" t="str">
        <f>" "</f>
        <v xml:space="preserve"> </v>
      </c>
    </row>
    <row r="33" spans="1:8" ht="12.75" hidden="1" customHeight="1" outlineLevel="1" x14ac:dyDescent="0.2">
      <c r="B33" s="10" t="str">
        <f>'(FnCalls 1)'!F41</f>
        <v>MMM 2011</v>
      </c>
      <c r="C33" s="11" t="str">
        <f>'(FnCalls 1)'!F42</f>
        <v>MMM 2011</v>
      </c>
      <c r="D33" s="11" t="str">
        <f>'(FnCalls 1)'!F43</f>
        <v>MMM 2011</v>
      </c>
      <c r="E33" s="11" t="str">
        <f>'(FnCalls 1)'!F44</f>
        <v>MMM 2011</v>
      </c>
      <c r="F33" s="11" t="str">
        <f>'(FnCalls 1)'!F45</f>
        <v>MMM 2011</v>
      </c>
      <c r="G33" s="11" t="str">
        <f>'(FnCalls 1)'!F46</f>
        <v>MMM 2011</v>
      </c>
      <c r="H33" s="94" t="str">
        <f>'(FnCalls 1)'!H41</f>
        <v>2011</v>
      </c>
    </row>
    <row r="34" spans="1:8" ht="12.75" hidden="1" customHeight="1" outlineLevel="1" x14ac:dyDescent="0.2">
      <c r="A34" s="91" t="str">
        <f>Labels!B20</f>
        <v>Cash Flow Check</v>
      </c>
      <c r="B34" s="147">
        <f t="shared" ref="B34:G34" si="6">B6+B17-B25-B27</f>
        <v>0</v>
      </c>
      <c r="C34" s="147">
        <f t="shared" si="6"/>
        <v>0</v>
      </c>
      <c r="D34" s="147">
        <f t="shared" si="6"/>
        <v>0</v>
      </c>
      <c r="E34" s="147">
        <f t="shared" si="6"/>
        <v>0</v>
      </c>
      <c r="F34" s="147">
        <f t="shared" si="6"/>
        <v>0</v>
      </c>
      <c r="G34" s="147">
        <f t="shared" si="6"/>
        <v>0</v>
      </c>
      <c r="H34" s="148">
        <f>SUM(B34:G34)</f>
        <v>0</v>
      </c>
    </row>
    <row r="35" spans="1:8" ht="12.75" hidden="1" customHeight="1" outlineLevel="1" collapsed="1" x14ac:dyDescent="0.2"/>
    <row r="36" spans="1:8" ht="12.75" customHeight="1" collapsed="1" x14ac:dyDescent="0.2"/>
  </sheetData>
  <mergeCells count="4">
    <mergeCell ref="A1:D1"/>
    <mergeCell ref="A2:D2"/>
    <mergeCell ref="A3:D3"/>
    <mergeCell ref="A4:D4"/>
  </mergeCells>
  <pageMargins left="0.25" right="0.25" top="0.5" bottom="0.5" header="0.5" footer="0.5"/>
  <pageSetup paperSize="9" fitToHeight="32767" orientation="landscape" horizontalDpi="300" verticalDpi="300"/>
  <headerFooter alignWithMargins="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H28"/>
  <sheetViews>
    <sheetView zoomScaleNormal="100" workbookViewId="0"/>
  </sheetViews>
  <sheetFormatPr defaultRowHeight="12.75" customHeight="1" x14ac:dyDescent="0.2"/>
  <cols>
    <col min="1" max="1" width="26.7109375" customWidth="1"/>
    <col min="2" max="2" width="8.5703125" customWidth="1"/>
    <col min="3" max="3" width="8.7109375" customWidth="1"/>
    <col min="4" max="5" width="8.5703125" customWidth="1"/>
    <col min="6" max="6" width="8.85546875" customWidth="1"/>
    <col min="7" max="7" width="8.7109375" customWidth="1"/>
    <col min="8" max="8" width="5.5703125" customWidth="1"/>
  </cols>
  <sheetData>
    <row r="1" spans="1:8" ht="12.75" customHeight="1" x14ac:dyDescent="0.2">
      <c r="A1" s="320" t="str">
        <f>Inputs!D7</f>
        <v>ABC Corp.</v>
      </c>
      <c r="B1" s="320"/>
      <c r="C1" s="320"/>
      <c r="D1" s="320"/>
    </row>
    <row r="2" spans="1:8" ht="12.75" customHeight="1" x14ac:dyDescent="0.2">
      <c r="A2" s="320" t="e">
        <f>TEXT('(FnCalls 1)'!A41,"m/d/yyyy")&amp;" to "&amp;TEXT('(FnCalls 1)'!A47-1,"m/d/yyyy")&amp;", Scenario "&amp;1</f>
        <v>#VALUE!</v>
      </c>
      <c r="B2" s="320"/>
      <c r="C2" s="320"/>
      <c r="D2" s="320"/>
    </row>
    <row r="3" spans="1:8" ht="12.75" customHeight="1" x14ac:dyDescent="0.2">
      <c r="A3" s="320" t="str">
        <f>"Ratio Report"</f>
        <v>Ratio Report</v>
      </c>
      <c r="B3" s="320"/>
      <c r="C3" s="320"/>
      <c r="D3" s="320"/>
    </row>
    <row r="4" spans="1:8" ht="12.75" customHeight="1" x14ac:dyDescent="0.2">
      <c r="A4" s="320" t="str">
        <f>""</f>
        <v/>
      </c>
      <c r="B4" s="320"/>
      <c r="C4" s="320"/>
      <c r="D4" s="320"/>
    </row>
    <row r="5" spans="1:8" ht="12.75" customHeight="1" x14ac:dyDescent="0.2">
      <c r="A5" s="2" t="str">
        <f>"Margin Ratios"</f>
        <v>Margin Ratios</v>
      </c>
    </row>
    <row r="6" spans="1:8" ht="12.75" customHeight="1" x14ac:dyDescent="0.2">
      <c r="B6" s="10" t="str">
        <f>'(FnCalls 1)'!F41</f>
        <v>MMM 2011</v>
      </c>
      <c r="C6" s="11" t="str">
        <f>'(FnCalls 1)'!F42</f>
        <v>MMM 2011</v>
      </c>
      <c r="D6" s="11" t="str">
        <f>'(FnCalls 1)'!F43</f>
        <v>MMM 2011</v>
      </c>
      <c r="E6" s="11" t="str">
        <f>'(FnCalls 1)'!F44</f>
        <v>MMM 2011</v>
      </c>
      <c r="F6" s="11" t="str">
        <f>'(FnCalls 1)'!F45</f>
        <v>MMM 2011</v>
      </c>
      <c r="G6" s="11" t="str">
        <f>'(FnCalls 1)'!F46</f>
        <v>MMM 2011</v>
      </c>
      <c r="H6" s="94" t="str">
        <f>'(FnCalls 1)'!H41</f>
        <v>2011</v>
      </c>
    </row>
    <row r="7" spans="1:8" ht="12.75" customHeight="1" x14ac:dyDescent="0.2">
      <c r="A7" s="128" t="str">
        <f>Labels!B75</f>
        <v>Gross Margin %</v>
      </c>
      <c r="B7" s="150">
        <f>IF(IncStmt!B6=0,0,IncStmt!B10/IncStmt!B6)</f>
        <v>0</v>
      </c>
      <c r="C7" s="150">
        <f>IF(IncStmt!C6=0,0,IncStmt!C10/IncStmt!C6)</f>
        <v>0</v>
      </c>
      <c r="D7" s="150">
        <f>IF(IncStmt!D6=0,0,IncStmt!D10/IncStmt!D6)</f>
        <v>0</v>
      </c>
      <c r="E7" s="150">
        <f>IF(IncStmt!E6=0,0,IncStmt!E10/IncStmt!E6)</f>
        <v>0</v>
      </c>
      <c r="F7" s="150">
        <f>IF(IncStmt!F6=0,0,IncStmt!F10/IncStmt!F6)</f>
        <v>0</v>
      </c>
      <c r="G7" s="150">
        <f>IF(IncStmt!G6=0,0,IncStmt!G10/IncStmt!G6)</f>
        <v>0</v>
      </c>
      <c r="H7" s="151">
        <f>IF(SUM(IncStmt!B6:G6)=0,0,SUM(IncStmt!B10:G10)/SUM(IncStmt!B6:G6))</f>
        <v>0</v>
      </c>
    </row>
    <row r="8" spans="1:8" ht="12.75" customHeight="1" x14ac:dyDescent="0.2">
      <c r="A8" s="134" t="str">
        <f>Labels!B113</f>
        <v>Operating Margin %</v>
      </c>
      <c r="B8" s="152">
        <f>IncStmt!B16</f>
        <v>0</v>
      </c>
      <c r="C8" s="152">
        <f>IncStmt!C16</f>
        <v>0</v>
      </c>
      <c r="D8" s="152">
        <f>IncStmt!D16</f>
        <v>0</v>
      </c>
      <c r="E8" s="152">
        <f>IncStmt!E16</f>
        <v>0</v>
      </c>
      <c r="F8" s="152">
        <f>IncStmt!F16</f>
        <v>0</v>
      </c>
      <c r="G8" s="152">
        <f>IncStmt!G16</f>
        <v>0</v>
      </c>
      <c r="H8" s="153">
        <f>IF(SUM(IncStmt!B6:G6)=0,0,SUM(IncStmt!B15:G15)/SUM(IncStmt!B6:G6))</f>
        <v>0</v>
      </c>
    </row>
    <row r="9" spans="1:8" ht="12.75" customHeight="1" x14ac:dyDescent="0.2">
      <c r="A9" s="131" t="str">
        <f>Labels!B129</f>
        <v>Return on Sales %</v>
      </c>
      <c r="B9" s="132">
        <f>IncStmt!B22</f>
        <v>0</v>
      </c>
      <c r="C9" s="132">
        <f>IncStmt!C22</f>
        <v>0</v>
      </c>
      <c r="D9" s="132">
        <f>IncStmt!D22</f>
        <v>0</v>
      </c>
      <c r="E9" s="132">
        <f>IncStmt!E22</f>
        <v>0</v>
      </c>
      <c r="F9" s="132">
        <f>IncStmt!F22</f>
        <v>0</v>
      </c>
      <c r="G9" s="132">
        <f>IncStmt!G22</f>
        <v>0</v>
      </c>
      <c r="H9" s="133">
        <f>IF(SUM(IncStmt!B6:G6)=0,0,SUM(IncStmt!B21:G21)/SUM(IncStmt!B6:G6))</f>
        <v>0</v>
      </c>
    </row>
    <row r="11" spans="1:8" ht="12.75" customHeight="1" x14ac:dyDescent="0.2">
      <c r="A11" s="2" t="str">
        <f>"Expense Ratios"</f>
        <v>Expense Ratios</v>
      </c>
    </row>
    <row r="12" spans="1:8" ht="12.75" customHeight="1" x14ac:dyDescent="0.2">
      <c r="A12" s="128" t="str">
        <f>Labels!B101</f>
        <v>Mktg Exp Ratio</v>
      </c>
      <c r="B12" s="150">
        <f>IF(IncStmt!B6=0,0,OpExp!B9/IncStmt!B6)</f>
        <v>0</v>
      </c>
      <c r="C12" s="150">
        <f>IF(IncStmt!C6=0,0,OpExp!C9/IncStmt!C6)</f>
        <v>0</v>
      </c>
      <c r="D12" s="150">
        <f>IF(IncStmt!D6=0,0,OpExp!D9/IncStmt!D6)</f>
        <v>0</v>
      </c>
      <c r="E12" s="150">
        <f>IF(IncStmt!E6=0,0,OpExp!E9/IncStmt!E6)</f>
        <v>0</v>
      </c>
      <c r="F12" s="150">
        <f>IF(IncStmt!F6=0,0,OpExp!F9/IncStmt!F6)</f>
        <v>0</v>
      </c>
      <c r="G12" s="150">
        <f>IF(IncStmt!G6=0,0,OpExp!G9/IncStmt!G6)</f>
        <v>0</v>
      </c>
      <c r="H12" s="151">
        <f>AVERAGE(B12:G12)</f>
        <v>0</v>
      </c>
    </row>
    <row r="13" spans="1:8" ht="12.75" customHeight="1" x14ac:dyDescent="0.2">
      <c r="A13" s="134" t="str">
        <f>Labels!B150</f>
        <v>Selling Exp Ratio</v>
      </c>
      <c r="B13" s="152">
        <f>IF(IncStmt!B6=0,0,OpExp!B8/IncStmt!B6)</f>
        <v>0</v>
      </c>
      <c r="C13" s="152">
        <f>IF(IncStmt!C6=0,0,OpExp!C8/IncStmt!C6)</f>
        <v>0</v>
      </c>
      <c r="D13" s="152">
        <f>IF(IncStmt!D6=0,0,OpExp!D8/IncStmt!D6)</f>
        <v>0</v>
      </c>
      <c r="E13" s="152">
        <f>IF(IncStmt!E6=0,0,OpExp!E8/IncStmt!E6)</f>
        <v>0</v>
      </c>
      <c r="F13" s="152">
        <f>IF(IncStmt!F6=0,0,OpExp!F8/IncStmt!F6)</f>
        <v>0</v>
      </c>
      <c r="G13" s="152">
        <f>IF(IncStmt!G6=0,0,OpExp!G8/IncStmt!G6)</f>
        <v>0</v>
      </c>
      <c r="H13" s="153">
        <f>AVERAGE(B13:G13)</f>
        <v>0</v>
      </c>
    </row>
    <row r="14" spans="1:8" ht="12.75" customHeight="1" x14ac:dyDescent="0.2">
      <c r="A14" s="131" t="str">
        <f>Labels!B71</f>
        <v>G&amp;A Exp Ratio</v>
      </c>
      <c r="B14" s="132">
        <f>IF(IncStmt!B6=0,0,OpExp!B96/IncStmt!B6)</f>
        <v>0</v>
      </c>
      <c r="C14" s="132">
        <f>IF(IncStmt!C6=0,0,OpExp!C96/IncStmt!C6)</f>
        <v>0</v>
      </c>
      <c r="D14" s="132">
        <f>IF(IncStmt!D6=0,0,OpExp!D96/IncStmt!D6)</f>
        <v>0</v>
      </c>
      <c r="E14" s="132">
        <f>IF(IncStmt!E6=0,0,OpExp!E96/IncStmt!E6)</f>
        <v>0</v>
      </c>
      <c r="F14" s="132">
        <f>IF(IncStmt!F6=0,0,OpExp!F96/IncStmt!F6)</f>
        <v>0</v>
      </c>
      <c r="G14" s="132">
        <f>IF(IncStmt!G6=0,0,OpExp!G96/IncStmt!G6)</f>
        <v>0</v>
      </c>
      <c r="H14" s="133">
        <f>AVERAGE(B14:G14)</f>
        <v>0</v>
      </c>
    </row>
    <row r="16" spans="1:8" ht="12.75" customHeight="1" x14ac:dyDescent="0.2">
      <c r="A16" s="2" t="str">
        <f>"Liquidity Ratios"</f>
        <v>Liquidity Ratios</v>
      </c>
    </row>
    <row r="17" spans="1:8" ht="12.75" customHeight="1" x14ac:dyDescent="0.2">
      <c r="A17" s="128" t="str">
        <f>Labels!B41</f>
        <v>Current Ratio</v>
      </c>
      <c r="B17" s="154">
        <f>IF(BalSht!C20=0,0,BalSht!C11/BalSht!C20)</f>
        <v>0</v>
      </c>
      <c r="C17" s="154">
        <f>IF(BalSht!D20=0,0,BalSht!D11/BalSht!D20)</f>
        <v>0</v>
      </c>
      <c r="D17" s="154">
        <f>IF(BalSht!E20=0,0,BalSht!E11/BalSht!E20)</f>
        <v>0</v>
      </c>
      <c r="E17" s="154">
        <f>IF(BalSht!F20=0,0,BalSht!F11/BalSht!F20)</f>
        <v>0</v>
      </c>
      <c r="F17" s="154">
        <f>IF(BalSht!G20=0,0,BalSht!G11/BalSht!G20)</f>
        <v>0</v>
      </c>
      <c r="G17" s="154">
        <f>IF(BalSht!H20=0,0,BalSht!H11/BalSht!H20)</f>
        <v>0</v>
      </c>
      <c r="H17" s="155">
        <f>IF(BalSht!H20=0,0,BalSht!H11/BalSht!H20)</f>
        <v>0</v>
      </c>
    </row>
    <row r="18" spans="1:8" ht="12.75" customHeight="1" x14ac:dyDescent="0.2">
      <c r="A18" s="131" t="str">
        <f>Labels!B125</f>
        <v>Quick Ratio</v>
      </c>
      <c r="B18" s="156">
        <f>IF(BalSht!C20=0,0,(BalSht!C11-BalSht!C10)/BalSht!C20)</f>
        <v>0</v>
      </c>
      <c r="C18" s="156">
        <f>IF(BalSht!D20=0,0,(BalSht!D11-BalSht!D10)/BalSht!D20)</f>
        <v>0</v>
      </c>
      <c r="D18" s="156">
        <f>IF(BalSht!E20=0,0,(BalSht!E11-BalSht!E10)/BalSht!E20)</f>
        <v>0</v>
      </c>
      <c r="E18" s="156">
        <f>IF(BalSht!F20=0,0,(BalSht!F11-BalSht!F10)/BalSht!F20)</f>
        <v>0</v>
      </c>
      <c r="F18" s="156">
        <f>IF(BalSht!G20=0,0,(BalSht!G11-BalSht!G10)/BalSht!G20)</f>
        <v>0</v>
      </c>
      <c r="G18" s="156">
        <f>IF(BalSht!H20=0,0,(BalSht!H11-BalSht!H10)/BalSht!H20)</f>
        <v>0</v>
      </c>
      <c r="H18" s="157">
        <f>IF(BalSht!H20=0,0,(BalSht!H11-BalSht!H10)/BalSht!H20)</f>
        <v>0</v>
      </c>
    </row>
    <row r="20" spans="1:8" ht="12.75" customHeight="1" x14ac:dyDescent="0.2">
      <c r="A20" s="2" t="str">
        <f>"Turnover Ratios"</f>
        <v>Turnover Ratios</v>
      </c>
    </row>
    <row r="21" spans="1:8" ht="12.75" customHeight="1" x14ac:dyDescent="0.2">
      <c r="A21" s="128" t="str">
        <f>Labels!B13</f>
        <v>Asset Turnover</v>
      </c>
      <c r="B21" s="154">
        <f>IF(BalSht!C13=0,0,IncStmt!B6/BalSht!C13)</f>
        <v>0</v>
      </c>
      <c r="C21" s="154">
        <f>IF(BalSht!D13=0,0,IncStmt!C6/BalSht!D13)</f>
        <v>0</v>
      </c>
      <c r="D21" s="154">
        <f>IF(BalSht!E13=0,0,IncStmt!D6/BalSht!E13)</f>
        <v>0</v>
      </c>
      <c r="E21" s="154">
        <f>IF(BalSht!F13=0,0,IncStmt!E6/BalSht!F13)</f>
        <v>0</v>
      </c>
      <c r="F21" s="154">
        <f>IF(BalSht!G13=0,0,IncStmt!F6/BalSht!G13)</f>
        <v>0</v>
      </c>
      <c r="G21" s="154">
        <f>IF(BalSht!H13=0,0,IncStmt!G6/BalSht!H13)</f>
        <v>0</v>
      </c>
      <c r="H21" s="155">
        <f>IF(BalSht!H13=0,0,SUM(IncStmt!B6:G6)/BalSht!H13)</f>
        <v>0</v>
      </c>
    </row>
    <row r="22" spans="1:8" ht="12.75" customHeight="1" x14ac:dyDescent="0.2">
      <c r="A22" s="134" t="str">
        <f>Labels!B88</f>
        <v>Finished Inventory Turnover (Yr)</v>
      </c>
      <c r="B22" s="158"/>
      <c r="C22" s="158"/>
      <c r="D22" s="158"/>
      <c r="E22" s="158">
        <f>IF(Assets!F16=0,0,12*IncStmt!E9/Assets!F16)</f>
        <v>0</v>
      </c>
      <c r="F22" s="158">
        <f>IF(Assets!G16=0,0,12*IncStmt!F9/Assets!G16)</f>
        <v>0</v>
      </c>
      <c r="G22" s="158">
        <f>IF(Assets!H16=0,0,12*IncStmt!G9/Assets!H16)</f>
        <v>0</v>
      </c>
      <c r="H22" s="159">
        <f>IF(Assets!H16=0,0,1*SUM(IncStmt!B9:G9)/Assets!H16)</f>
        <v>0</v>
      </c>
    </row>
    <row r="23" spans="1:8" ht="12.75" customHeight="1" x14ac:dyDescent="0.2">
      <c r="A23" s="131" t="str">
        <f>Labels!B136</f>
        <v>Revenue / Employee</v>
      </c>
      <c r="B23" s="160">
        <f>IF('Indirect Labor'!B11=0,0,12*IncStmt!B6/'Indirect Labor'!B11)</f>
        <v>0</v>
      </c>
      <c r="C23" s="160">
        <f>IF('Indirect Labor'!C11=0,0,12*IncStmt!C6/'Indirect Labor'!C11)</f>
        <v>0</v>
      </c>
      <c r="D23" s="160">
        <f>IF('Indirect Labor'!D11=0,0,12*IncStmt!D6/'Indirect Labor'!D11)</f>
        <v>0</v>
      </c>
      <c r="E23" s="160">
        <f>IF('Indirect Labor'!E11=0,0,12*IncStmt!E6/'Indirect Labor'!E11)</f>
        <v>0</v>
      </c>
      <c r="F23" s="160">
        <f>IF('Indirect Labor'!F11=0,0,12*IncStmt!F6/'Indirect Labor'!F11)</f>
        <v>0</v>
      </c>
      <c r="G23" s="160">
        <f>IF('Indirect Labor'!G11=0,0,12*IncStmt!G6/'Indirect Labor'!G11)</f>
        <v>0</v>
      </c>
      <c r="H23" s="146">
        <f>IF('Indirect Labor'!G11=0,0,1*SUM(IncStmt!B6:G6)/'Indirect Labor'!G11)</f>
        <v>0</v>
      </c>
    </row>
    <row r="25" spans="1:8" ht="12.75" customHeight="1" x14ac:dyDescent="0.2">
      <c r="A25" s="2" t="str">
        <f>"Capital Ratios"</f>
        <v>Capital Ratios</v>
      </c>
    </row>
    <row r="26" spans="1:8" ht="12.75" customHeight="1" x14ac:dyDescent="0.2">
      <c r="A26" s="128" t="str">
        <f>Labels!B127</f>
        <v>Return on Assets</v>
      </c>
      <c r="B26" s="150">
        <f>0</f>
        <v>0</v>
      </c>
      <c r="C26" s="150">
        <f>0</f>
        <v>0</v>
      </c>
      <c r="D26" s="150">
        <f>0</f>
        <v>0</v>
      </c>
      <c r="E26" s="150">
        <f>0</f>
        <v>0</v>
      </c>
      <c r="F26" s="150">
        <f>0</f>
        <v>0</v>
      </c>
      <c r="G26" s="150">
        <f>0</f>
        <v>0</v>
      </c>
      <c r="H26" s="151">
        <f>AVERAGE(B26:G26)</f>
        <v>0</v>
      </c>
    </row>
    <row r="27" spans="1:8" ht="12.75" customHeight="1" x14ac:dyDescent="0.2">
      <c r="A27" s="134" t="str">
        <f>Labels!B128</f>
        <v>Return on Equity</v>
      </c>
      <c r="B27" s="152">
        <f>0</f>
        <v>0</v>
      </c>
      <c r="C27" s="152">
        <f>0</f>
        <v>0</v>
      </c>
      <c r="D27" s="152">
        <f>0</f>
        <v>0</v>
      </c>
      <c r="E27" s="152">
        <f>0</f>
        <v>0</v>
      </c>
      <c r="F27" s="152">
        <f>0</f>
        <v>0</v>
      </c>
      <c r="G27" s="152">
        <f>0</f>
        <v>0</v>
      </c>
      <c r="H27" s="153">
        <f>AVERAGE(B27:G27)</f>
        <v>0</v>
      </c>
    </row>
    <row r="28" spans="1:8" ht="12.75" customHeight="1" x14ac:dyDescent="0.2">
      <c r="A28" s="131" t="str">
        <f>Labels!B42</f>
        <v>Debt Ratio</v>
      </c>
      <c r="B28" s="132">
        <f>IF(BalSht!C13=0,0,BalSht!C25/BalSht!C13)</f>
        <v>0</v>
      </c>
      <c r="C28" s="132">
        <f>IF(BalSht!D13=0,0,BalSht!D25/BalSht!D13)</f>
        <v>0</v>
      </c>
      <c r="D28" s="132">
        <f>IF(BalSht!E13=0,0,BalSht!E25/BalSht!E13)</f>
        <v>0</v>
      </c>
      <c r="E28" s="132">
        <f>IF(BalSht!F13=0,0,BalSht!F25/BalSht!F13)</f>
        <v>0</v>
      </c>
      <c r="F28" s="132">
        <f>IF(BalSht!G13=0,0,BalSht!G25/BalSht!G13)</f>
        <v>0</v>
      </c>
      <c r="G28" s="132">
        <f>IF(BalSht!H13=0,0,BalSht!H25/BalSht!H13)</f>
        <v>0</v>
      </c>
      <c r="H28" s="133">
        <f>G28</f>
        <v>0</v>
      </c>
    </row>
  </sheetData>
  <mergeCells count="4">
    <mergeCell ref="A1:D1"/>
    <mergeCell ref="A2:D2"/>
    <mergeCell ref="A3:D3"/>
    <mergeCell ref="A4:D4"/>
  </mergeCells>
  <pageMargins left="0.25" right="0.25" top="0.5" bottom="0.5" header="0.5" footer="0.5"/>
  <pageSetup paperSize="9" fitToHeight="32767" orientation="landscape"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H221"/>
  <sheetViews>
    <sheetView zoomScaleNormal="100" workbookViewId="0"/>
  </sheetViews>
  <sheetFormatPr defaultRowHeight="12.75" customHeight="1" outlineLevelRow="3" x14ac:dyDescent="0.2"/>
  <cols>
    <col min="1" max="1" width="23.28515625" customWidth="1"/>
    <col min="2" max="3" width="8.7109375" customWidth="1"/>
    <col min="4" max="4" width="8.5703125" customWidth="1"/>
    <col min="5" max="6" width="8.85546875" customWidth="1"/>
    <col min="7" max="7" width="8.7109375" customWidth="1"/>
    <col min="8" max="8" width="6.7109375" customWidth="1"/>
  </cols>
  <sheetData>
    <row r="1" spans="1:8" ht="12.75" customHeight="1" x14ac:dyDescent="0.2">
      <c r="A1" s="320" t="str">
        <f>Inputs!D7</f>
        <v>ABC Corp.</v>
      </c>
      <c r="B1" s="320"/>
      <c r="C1" s="320"/>
      <c r="D1" s="320"/>
    </row>
    <row r="2" spans="1:8" ht="12.75" customHeight="1" x14ac:dyDescent="0.2">
      <c r="A2" s="320" t="e">
        <f>TEXT('(FnCalls 1)'!A41,"m/d/yyyy")&amp;" to "&amp;TEXT('(FnCalls 1)'!A47-1,"m/d/yyyy")&amp;", Scenario "&amp;1</f>
        <v>#VALUE!</v>
      </c>
      <c r="B2" s="320"/>
      <c r="C2" s="320"/>
      <c r="D2" s="320"/>
    </row>
    <row r="3" spans="1:8" ht="12.75" customHeight="1" x14ac:dyDescent="0.2">
      <c r="A3" s="320" t="str">
        <f>"Sales Detail"</f>
        <v>Sales Detail</v>
      </c>
      <c r="B3" s="320"/>
      <c r="C3" s="320"/>
      <c r="D3" s="320"/>
    </row>
    <row r="4" spans="1:8" ht="12.75" customHeight="1" x14ac:dyDescent="0.2">
      <c r="A4" s="320" t="str">
        <f>""</f>
        <v/>
      </c>
      <c r="B4" s="320"/>
      <c r="C4" s="320"/>
      <c r="D4" s="320"/>
    </row>
    <row r="5" spans="1:8" ht="12.75" customHeight="1" x14ac:dyDescent="0.2">
      <c r="A5" s="2" t="str">
        <f>"Summmary"</f>
        <v>Summmary</v>
      </c>
    </row>
    <row r="6" spans="1:8" ht="12.75" customHeight="1" x14ac:dyDescent="0.2">
      <c r="A6" s="2" t="str">
        <f>""</f>
        <v/>
      </c>
    </row>
    <row r="7" spans="1:8" ht="12.75" customHeight="1" x14ac:dyDescent="0.2">
      <c r="B7" s="10" t="str">
        <f>'(FnCalls 1)'!F41</f>
        <v>MMM 2011</v>
      </c>
      <c r="C7" s="11" t="str">
        <f>'(FnCalls 1)'!F42</f>
        <v>MMM 2011</v>
      </c>
      <c r="D7" s="11" t="str">
        <f>'(FnCalls 1)'!F43</f>
        <v>MMM 2011</v>
      </c>
      <c r="E7" s="11" t="str">
        <f>'(FnCalls 1)'!F44</f>
        <v>MMM 2011</v>
      </c>
      <c r="F7" s="11" t="str">
        <f>'(FnCalls 1)'!F45</f>
        <v>MMM 2011</v>
      </c>
      <c r="G7" s="11" t="str">
        <f>'(FnCalls 1)'!F46</f>
        <v>MMM 2011</v>
      </c>
      <c r="H7" s="94" t="str">
        <f>'(FnCalls 1)'!H41</f>
        <v>2011</v>
      </c>
    </row>
    <row r="8" spans="1:8" ht="12.75" customHeight="1" x14ac:dyDescent="0.2">
      <c r="A8" s="91" t="str">
        <f>Labels!B137</f>
        <v>Revenue - Products</v>
      </c>
      <c r="B8" s="149">
        <f t="shared" ref="B8:G8" si="0">SUM(B34,B38)</f>
        <v>0</v>
      </c>
      <c r="C8" s="149">
        <f t="shared" si="0"/>
        <v>0</v>
      </c>
      <c r="D8" s="149">
        <f t="shared" si="0"/>
        <v>0</v>
      </c>
      <c r="E8" s="149">
        <f t="shared" si="0"/>
        <v>0</v>
      </c>
      <c r="F8" s="149">
        <f t="shared" si="0"/>
        <v>0</v>
      </c>
      <c r="G8" s="149">
        <f t="shared" si="0"/>
        <v>0</v>
      </c>
      <c r="H8" s="140">
        <f>SUM(B8:G8)</f>
        <v>0</v>
      </c>
    </row>
    <row r="10" spans="1:8" ht="12.75" customHeight="1" x14ac:dyDescent="0.2">
      <c r="A10" s="3" t="str">
        <f>"Revenue Growth"</f>
        <v>Revenue Growth</v>
      </c>
    </row>
    <row r="11" spans="1:8" ht="12.75" hidden="1" customHeight="1" outlineLevel="1" x14ac:dyDescent="0.2">
      <c r="A11" s="3" t="str">
        <f>""</f>
        <v/>
      </c>
    </row>
    <row r="12" spans="1:8" ht="12.75" hidden="1" customHeight="1" outlineLevel="1" x14ac:dyDescent="0.2">
      <c r="B12" s="10" t="str">
        <f>'(FnCalls 1)'!F42</f>
        <v>MMM 2011</v>
      </c>
      <c r="C12" s="11" t="str">
        <f>'(FnCalls 1)'!F43</f>
        <v>MMM 2011</v>
      </c>
      <c r="D12" s="11" t="str">
        <f>'(FnCalls 1)'!F44</f>
        <v>MMM 2011</v>
      </c>
      <c r="E12" s="11" t="str">
        <f>'(FnCalls 1)'!F45</f>
        <v>MMM 2011</v>
      </c>
      <c r="F12" s="11" t="str">
        <f>'(FnCalls 1)'!F46</f>
        <v>MMM 2011</v>
      </c>
      <c r="G12" s="94" t="str">
        <f>'(FnCalls 1)'!H41</f>
        <v>2011</v>
      </c>
    </row>
    <row r="13" spans="1:8" ht="12.75" hidden="1" customHeight="1" outlineLevel="1" x14ac:dyDescent="0.2">
      <c r="A13" s="91" t="str">
        <f>Labels!B139</f>
        <v>Revenue Growth - Products</v>
      </c>
      <c r="B13" s="161" t="str">
        <f>IF(B8=0," ",C8/B8-1)</f>
        <v xml:space="preserve"> </v>
      </c>
      <c r="C13" s="161" t="str">
        <f>IF(C8=0," ",D8/C8-1)</f>
        <v xml:space="preserve"> </v>
      </c>
      <c r="D13" s="161" t="str">
        <f>IF(D8=0," ",E8/D8-1)</f>
        <v xml:space="preserve"> </v>
      </c>
      <c r="E13" s="161" t="str">
        <f>IF(E8=0," ",F8/E8-1)</f>
        <v xml:space="preserve"> </v>
      </c>
      <c r="F13" s="161" t="str">
        <f>IF(F8=0," ",G8/F8-1)</f>
        <v xml:space="preserve"> </v>
      </c>
      <c r="G13" s="162" t="str">
        <f>" "</f>
        <v xml:space="preserve"> </v>
      </c>
    </row>
    <row r="14" spans="1:8" ht="12.75" hidden="1" customHeight="1" outlineLevel="1" collapsed="1" x14ac:dyDescent="0.2"/>
    <row r="15" spans="1:8" ht="12.75" customHeight="1" collapsed="1" x14ac:dyDescent="0.2"/>
    <row r="17" spans="1:8" ht="12.75" customHeight="1" x14ac:dyDescent="0.2">
      <c r="A17" s="322" t="str">
        <f>"Summary by Location"</f>
        <v>Summary by Location</v>
      </c>
      <c r="B17" s="322"/>
    </row>
    <row r="18" spans="1:8" ht="12.75" hidden="1" customHeight="1" outlineLevel="1" x14ac:dyDescent="0.2">
      <c r="A18" s="322" t="str">
        <f>""</f>
        <v/>
      </c>
      <c r="B18" s="322"/>
    </row>
    <row r="19" spans="1:8" ht="12.75" hidden="1" customHeight="1" outlineLevel="1" x14ac:dyDescent="0.2">
      <c r="A19" s="3" t="str">
        <f>"Revenue"</f>
        <v>Revenue</v>
      </c>
    </row>
    <row r="20" spans="1:8" ht="12.75" hidden="1" customHeight="1" outlineLevel="2" x14ac:dyDescent="0.2">
      <c r="A20" s="3" t="str">
        <f>""</f>
        <v/>
      </c>
    </row>
    <row r="21" spans="1:8" ht="12.75" hidden="1" customHeight="1" outlineLevel="2" x14ac:dyDescent="0.2">
      <c r="B21" s="10" t="str">
        <f>'(FnCalls 1)'!F41</f>
        <v>MMM 2011</v>
      </c>
      <c r="C21" s="11" t="str">
        <f>'(FnCalls 1)'!F42</f>
        <v>MMM 2011</v>
      </c>
      <c r="D21" s="11" t="str">
        <f>'(FnCalls 1)'!F43</f>
        <v>MMM 2011</v>
      </c>
      <c r="E21" s="11" t="str">
        <f>'(FnCalls 1)'!F44</f>
        <v>MMM 2011</v>
      </c>
      <c r="F21" s="11" t="str">
        <f>'(FnCalls 1)'!F45</f>
        <v>MMM 2011</v>
      </c>
      <c r="G21" s="11" t="str">
        <f>'(FnCalls 1)'!F46</f>
        <v>MMM 2011</v>
      </c>
      <c r="H21" s="94" t="str">
        <f>'(FnCalls 1)'!H41</f>
        <v>2011</v>
      </c>
    </row>
    <row r="22" spans="1:8" ht="12.75" hidden="1" customHeight="1" outlineLevel="2" x14ac:dyDescent="0.2">
      <c r="A22" s="128" t="str">
        <f>Labels!B131</f>
        <v>Revenue</v>
      </c>
      <c r="B22" s="141"/>
      <c r="C22" s="141"/>
      <c r="D22" s="141"/>
      <c r="E22" s="141"/>
      <c r="F22" s="141"/>
      <c r="G22" s="141"/>
      <c r="H22" s="130"/>
    </row>
    <row r="23" spans="1:8" ht="12.75" hidden="1" customHeight="1" outlineLevel="2" x14ac:dyDescent="0.2">
      <c r="A23" s="142" t="str">
        <f>"   "&amp;Labels!B259</f>
        <v xml:space="preserve">   Location 1</v>
      </c>
      <c r="B23" s="143">
        <f t="shared" ref="B23:G24" si="1">B40+0+0</f>
        <v>0</v>
      </c>
      <c r="C23" s="143">
        <f t="shared" si="1"/>
        <v>0</v>
      </c>
      <c r="D23" s="143">
        <f t="shared" si="1"/>
        <v>0</v>
      </c>
      <c r="E23" s="143">
        <f t="shared" si="1"/>
        <v>0</v>
      </c>
      <c r="F23" s="143">
        <f t="shared" si="1"/>
        <v>0</v>
      </c>
      <c r="G23" s="143">
        <f t="shared" si="1"/>
        <v>0</v>
      </c>
      <c r="H23" s="136">
        <f>SUM(B23:G23)</f>
        <v>0</v>
      </c>
    </row>
    <row r="24" spans="1:8" ht="12.75" hidden="1" customHeight="1" outlineLevel="2" x14ac:dyDescent="0.2">
      <c r="A24" s="142" t="str">
        <f>"   "&amp;Labels!B260</f>
        <v xml:space="preserve">   Location 2</v>
      </c>
      <c r="B24" s="143">
        <f t="shared" si="1"/>
        <v>0</v>
      </c>
      <c r="C24" s="143">
        <f t="shared" si="1"/>
        <v>0</v>
      </c>
      <c r="D24" s="143">
        <f t="shared" si="1"/>
        <v>0</v>
      </c>
      <c r="E24" s="143">
        <f t="shared" si="1"/>
        <v>0</v>
      </c>
      <c r="F24" s="143">
        <f t="shared" si="1"/>
        <v>0</v>
      </c>
      <c r="G24" s="143">
        <f t="shared" si="1"/>
        <v>0</v>
      </c>
      <c r="H24" s="136">
        <f>SUM(B24:G24)</f>
        <v>0</v>
      </c>
    </row>
    <row r="25" spans="1:8" ht="12.75" hidden="1" customHeight="1" outlineLevel="2" x14ac:dyDescent="0.2">
      <c r="A25" s="131" t="str">
        <f>"   "&amp;Labels!C258</f>
        <v xml:space="preserve">   Total</v>
      </c>
      <c r="B25" s="127">
        <f t="shared" ref="B25:G25" si="2">SUM(B23:B24)</f>
        <v>0</v>
      </c>
      <c r="C25" s="127">
        <f t="shared" si="2"/>
        <v>0</v>
      </c>
      <c r="D25" s="127">
        <f t="shared" si="2"/>
        <v>0</v>
      </c>
      <c r="E25" s="127">
        <f t="shared" si="2"/>
        <v>0</v>
      </c>
      <c r="F25" s="127">
        <f t="shared" si="2"/>
        <v>0</v>
      </c>
      <c r="G25" s="127">
        <f t="shared" si="2"/>
        <v>0</v>
      </c>
      <c r="H25" s="146">
        <f>SUM(B25:G25)</f>
        <v>0</v>
      </c>
    </row>
    <row r="26" spans="1:8" ht="12.75" hidden="1" customHeight="1" outlineLevel="2" x14ac:dyDescent="0.2"/>
    <row r="27" spans="1:8" ht="12.75" hidden="1" customHeight="1" outlineLevel="2" x14ac:dyDescent="0.2">
      <c r="A27" s="1" t="str">
        <f>"Product Detail"</f>
        <v>Product Detail</v>
      </c>
    </row>
    <row r="28" spans="1:8" ht="12.75" hidden="1" customHeight="1" outlineLevel="3" x14ac:dyDescent="0.2">
      <c r="A28" s="1" t="str">
        <f>""</f>
        <v/>
      </c>
    </row>
    <row r="29" spans="1:8" ht="12.75" hidden="1" customHeight="1" outlineLevel="3" x14ac:dyDescent="0.2">
      <c r="B29" s="10" t="str">
        <f>'(FnCalls 1)'!F41</f>
        <v>MMM 2011</v>
      </c>
      <c r="C29" s="11" t="str">
        <f>'(FnCalls 1)'!F42</f>
        <v>MMM 2011</v>
      </c>
      <c r="D29" s="11" t="str">
        <f>'(FnCalls 1)'!F43</f>
        <v>MMM 2011</v>
      </c>
      <c r="E29" s="11" t="str">
        <f>'(FnCalls 1)'!F44</f>
        <v>MMM 2011</v>
      </c>
      <c r="F29" s="11" t="str">
        <f>'(FnCalls 1)'!F45</f>
        <v>MMM 2011</v>
      </c>
      <c r="G29" s="11" t="str">
        <f>'(FnCalls 1)'!F46</f>
        <v>MMM 2011</v>
      </c>
      <c r="H29" s="94" t="str">
        <f>'(FnCalls 1)'!H41</f>
        <v>2011</v>
      </c>
    </row>
    <row r="30" spans="1:8" ht="12.75" hidden="1" customHeight="1" outlineLevel="3" x14ac:dyDescent="0.2">
      <c r="A30" s="128" t="str">
        <f>Labels!B137</f>
        <v>Revenue - Products</v>
      </c>
      <c r="B30" s="141"/>
      <c r="C30" s="141"/>
      <c r="D30" s="141"/>
      <c r="E30" s="141"/>
      <c r="F30" s="141"/>
      <c r="G30" s="141"/>
      <c r="H30" s="130"/>
    </row>
    <row r="31" spans="1:8" ht="12.75" hidden="1" customHeight="1" outlineLevel="3" x14ac:dyDescent="0.2">
      <c r="A31" s="142" t="str">
        <f>"   "&amp;Labels!B255</f>
        <v xml:space="preserve">   Product 1</v>
      </c>
      <c r="B31" s="143"/>
      <c r="C31" s="143"/>
      <c r="D31" s="143"/>
      <c r="E31" s="143"/>
      <c r="F31" s="143"/>
      <c r="G31" s="143"/>
      <c r="H31" s="136"/>
    </row>
    <row r="32" spans="1:8" ht="12.75" hidden="1" customHeight="1" outlineLevel="3" x14ac:dyDescent="0.2">
      <c r="A32" s="144" t="str">
        <f>"      "&amp;Labels!B259</f>
        <v xml:space="preserve">      Location 1</v>
      </c>
      <c r="B32" s="135">
        <f t="shared" ref="B32:G32" si="3">(1-B208)*B188*B65</f>
        <v>0</v>
      </c>
      <c r="C32" s="135">
        <f t="shared" si="3"/>
        <v>0</v>
      </c>
      <c r="D32" s="135">
        <f t="shared" si="3"/>
        <v>0</v>
      </c>
      <c r="E32" s="135">
        <f t="shared" si="3"/>
        <v>0</v>
      </c>
      <c r="F32" s="135">
        <f t="shared" si="3"/>
        <v>0</v>
      </c>
      <c r="G32" s="135">
        <f t="shared" si="3"/>
        <v>0</v>
      </c>
      <c r="H32" s="136">
        <f>SUM(B32:G32)</f>
        <v>0</v>
      </c>
    </row>
    <row r="33" spans="1:8" ht="12.75" hidden="1" customHeight="1" outlineLevel="3" x14ac:dyDescent="0.2">
      <c r="A33" s="144" t="str">
        <f>"      "&amp;Labels!B260</f>
        <v xml:space="preserve">      Location 2</v>
      </c>
      <c r="B33" s="135">
        <f t="shared" ref="B33:G33" si="4">(1-B209)*B188*B66</f>
        <v>0</v>
      </c>
      <c r="C33" s="135">
        <f t="shared" si="4"/>
        <v>0</v>
      </c>
      <c r="D33" s="135">
        <f t="shared" si="4"/>
        <v>0</v>
      </c>
      <c r="E33" s="135">
        <f t="shared" si="4"/>
        <v>0</v>
      </c>
      <c r="F33" s="135">
        <f t="shared" si="4"/>
        <v>0</v>
      </c>
      <c r="G33" s="135">
        <f t="shared" si="4"/>
        <v>0</v>
      </c>
      <c r="H33" s="136">
        <f>SUM(B33:G33)</f>
        <v>0</v>
      </c>
    </row>
    <row r="34" spans="1:8" ht="12.75" hidden="1" customHeight="1" outlineLevel="3" x14ac:dyDescent="0.2">
      <c r="A34" s="142" t="str">
        <f>"      "&amp;Labels!C258</f>
        <v xml:space="preserve">      Total</v>
      </c>
      <c r="B34" s="143">
        <f t="shared" ref="B34:G34" si="5">SUM(B32:B33)</f>
        <v>0</v>
      </c>
      <c r="C34" s="143">
        <f t="shared" si="5"/>
        <v>0</v>
      </c>
      <c r="D34" s="143">
        <f t="shared" si="5"/>
        <v>0</v>
      </c>
      <c r="E34" s="143">
        <f t="shared" si="5"/>
        <v>0</v>
      </c>
      <c r="F34" s="143">
        <f t="shared" si="5"/>
        <v>0</v>
      </c>
      <c r="G34" s="143">
        <f t="shared" si="5"/>
        <v>0</v>
      </c>
      <c r="H34" s="136">
        <f>SUM(B34:G34)</f>
        <v>0</v>
      </c>
    </row>
    <row r="35" spans="1:8" ht="12.75" hidden="1" customHeight="1" outlineLevel="3" x14ac:dyDescent="0.2">
      <c r="A35" s="142" t="str">
        <f>"   "&amp;Labels!B256</f>
        <v xml:space="preserve">   Product 2</v>
      </c>
      <c r="B35" s="143"/>
      <c r="C35" s="143"/>
      <c r="D35" s="143"/>
      <c r="E35" s="143"/>
      <c r="F35" s="143"/>
      <c r="G35" s="143"/>
      <c r="H35" s="136"/>
    </row>
    <row r="36" spans="1:8" ht="12.75" hidden="1" customHeight="1" outlineLevel="3" x14ac:dyDescent="0.2">
      <c r="A36" s="144" t="str">
        <f>"      "&amp;Labels!B259</f>
        <v xml:space="preserve">      Location 1</v>
      </c>
      <c r="B36" s="135">
        <f t="shared" ref="B36:G36" si="6">(1-B212)*B189*B69</f>
        <v>0</v>
      </c>
      <c r="C36" s="135">
        <f t="shared" si="6"/>
        <v>0</v>
      </c>
      <c r="D36" s="135">
        <f t="shared" si="6"/>
        <v>0</v>
      </c>
      <c r="E36" s="135">
        <f t="shared" si="6"/>
        <v>0</v>
      </c>
      <c r="F36" s="135">
        <f t="shared" si="6"/>
        <v>0</v>
      </c>
      <c r="G36" s="135">
        <f t="shared" si="6"/>
        <v>0</v>
      </c>
      <c r="H36" s="136">
        <f t="shared" ref="H36:H41" si="7">SUM(B36:G36)</f>
        <v>0</v>
      </c>
    </row>
    <row r="37" spans="1:8" ht="12.75" hidden="1" customHeight="1" outlineLevel="3" x14ac:dyDescent="0.2">
      <c r="A37" s="144" t="str">
        <f>"      "&amp;Labels!B260</f>
        <v xml:space="preserve">      Location 2</v>
      </c>
      <c r="B37" s="135">
        <f t="shared" ref="B37:G37" si="8">(1-B213)*B189*B70</f>
        <v>0</v>
      </c>
      <c r="C37" s="135">
        <f t="shared" si="8"/>
        <v>0</v>
      </c>
      <c r="D37" s="135">
        <f t="shared" si="8"/>
        <v>0</v>
      </c>
      <c r="E37" s="135">
        <f t="shared" si="8"/>
        <v>0</v>
      </c>
      <c r="F37" s="135">
        <f t="shared" si="8"/>
        <v>0</v>
      </c>
      <c r="G37" s="135">
        <f t="shared" si="8"/>
        <v>0</v>
      </c>
      <c r="H37" s="136">
        <f t="shared" si="7"/>
        <v>0</v>
      </c>
    </row>
    <row r="38" spans="1:8" ht="12.75" hidden="1" customHeight="1" outlineLevel="3" x14ac:dyDescent="0.2">
      <c r="A38" s="142" t="str">
        <f>"      "&amp;Labels!C258</f>
        <v xml:space="preserve">      Total</v>
      </c>
      <c r="B38" s="143">
        <f t="shared" ref="B38:G38" si="9">SUM(B36:B37)</f>
        <v>0</v>
      </c>
      <c r="C38" s="143">
        <f t="shared" si="9"/>
        <v>0</v>
      </c>
      <c r="D38" s="143">
        <f t="shared" si="9"/>
        <v>0</v>
      </c>
      <c r="E38" s="143">
        <f t="shared" si="9"/>
        <v>0</v>
      </c>
      <c r="F38" s="143">
        <f t="shared" si="9"/>
        <v>0</v>
      </c>
      <c r="G38" s="143">
        <f t="shared" si="9"/>
        <v>0</v>
      </c>
      <c r="H38" s="136">
        <f t="shared" si="7"/>
        <v>0</v>
      </c>
    </row>
    <row r="39" spans="1:8" ht="12.75" hidden="1" customHeight="1" outlineLevel="3" x14ac:dyDescent="0.2">
      <c r="A39" s="134" t="str">
        <f>"   "&amp;Labels!C254</f>
        <v xml:space="preserve">   Total</v>
      </c>
      <c r="B39" s="145">
        <f t="shared" ref="B39:G39" si="10">SUM(B34,B38)</f>
        <v>0</v>
      </c>
      <c r="C39" s="145">
        <f t="shared" si="10"/>
        <v>0</v>
      </c>
      <c r="D39" s="145">
        <f t="shared" si="10"/>
        <v>0</v>
      </c>
      <c r="E39" s="145">
        <f t="shared" si="10"/>
        <v>0</v>
      </c>
      <c r="F39" s="145">
        <f t="shared" si="10"/>
        <v>0</v>
      </c>
      <c r="G39" s="145">
        <f t="shared" si="10"/>
        <v>0</v>
      </c>
      <c r="H39" s="136">
        <f t="shared" si="7"/>
        <v>0</v>
      </c>
    </row>
    <row r="40" spans="1:8" ht="12.75" hidden="1" customHeight="1" outlineLevel="3" x14ac:dyDescent="0.2">
      <c r="A40" s="144" t="str">
        <f>"      "&amp;Labels!B259</f>
        <v xml:space="preserve">      Location 1</v>
      </c>
      <c r="B40" s="135">
        <f t="shared" ref="B40:G42" si="11">SUM(B32,B36)</f>
        <v>0</v>
      </c>
      <c r="C40" s="135">
        <f t="shared" si="11"/>
        <v>0</v>
      </c>
      <c r="D40" s="135">
        <f t="shared" si="11"/>
        <v>0</v>
      </c>
      <c r="E40" s="135">
        <f t="shared" si="11"/>
        <v>0</v>
      </c>
      <c r="F40" s="135">
        <f t="shared" si="11"/>
        <v>0</v>
      </c>
      <c r="G40" s="135">
        <f t="shared" si="11"/>
        <v>0</v>
      </c>
      <c r="H40" s="136">
        <f t="shared" si="7"/>
        <v>0</v>
      </c>
    </row>
    <row r="41" spans="1:8" ht="12.75" hidden="1" customHeight="1" outlineLevel="3" x14ac:dyDescent="0.2">
      <c r="A41" s="144" t="str">
        <f>"      "&amp;Labels!B260</f>
        <v xml:space="preserve">      Location 2</v>
      </c>
      <c r="B41" s="135">
        <f t="shared" si="11"/>
        <v>0</v>
      </c>
      <c r="C41" s="135">
        <f t="shared" si="11"/>
        <v>0</v>
      </c>
      <c r="D41" s="135">
        <f t="shared" si="11"/>
        <v>0</v>
      </c>
      <c r="E41" s="135">
        <f t="shared" si="11"/>
        <v>0</v>
      </c>
      <c r="F41" s="135">
        <f t="shared" si="11"/>
        <v>0</v>
      </c>
      <c r="G41" s="135">
        <f t="shared" si="11"/>
        <v>0</v>
      </c>
      <c r="H41" s="136">
        <f t="shared" si="7"/>
        <v>0</v>
      </c>
    </row>
    <row r="42" spans="1:8" ht="12.75" hidden="1" customHeight="1" outlineLevel="3" x14ac:dyDescent="0.2">
      <c r="A42" s="163" t="str">
        <f>"      "&amp;Labels!C258</f>
        <v xml:space="preserve">      Total</v>
      </c>
      <c r="B42" s="164">
        <f t="shared" si="11"/>
        <v>0</v>
      </c>
      <c r="C42" s="164">
        <f t="shared" si="11"/>
        <v>0</v>
      </c>
      <c r="D42" s="164">
        <f t="shared" si="11"/>
        <v>0</v>
      </c>
      <c r="E42" s="164">
        <f t="shared" si="11"/>
        <v>0</v>
      </c>
      <c r="F42" s="164">
        <f t="shared" si="11"/>
        <v>0</v>
      </c>
      <c r="G42" s="164">
        <f t="shared" si="11"/>
        <v>0</v>
      </c>
      <c r="H42" s="146">
        <f>SUM(B39:G39)</f>
        <v>0</v>
      </c>
    </row>
    <row r="43" spans="1:8" ht="12.75" hidden="1" customHeight="1" outlineLevel="3" collapsed="1" x14ac:dyDescent="0.2"/>
    <row r="44" spans="1:8" ht="12.75" hidden="1" customHeight="1" outlineLevel="2" collapsed="1" x14ac:dyDescent="0.2">
      <c r="A44" s="1" t="str">
        <f>"Revenue Growth"</f>
        <v>Revenue Growth</v>
      </c>
    </row>
    <row r="45" spans="1:8" ht="12.75" hidden="1" customHeight="1" outlineLevel="3" x14ac:dyDescent="0.2">
      <c r="A45" s="1" t="str">
        <f>" "</f>
        <v xml:space="preserve"> </v>
      </c>
    </row>
    <row r="46" spans="1:8" ht="12.75" hidden="1" customHeight="1" outlineLevel="3" x14ac:dyDescent="0.2">
      <c r="B46" s="10" t="str">
        <f>'(FnCalls 1)'!F42</f>
        <v>MMM 2011</v>
      </c>
      <c r="C46" s="11" t="str">
        <f>'(FnCalls 1)'!F43</f>
        <v>MMM 2011</v>
      </c>
      <c r="D46" s="11" t="str">
        <f>'(FnCalls 1)'!F44</f>
        <v>MMM 2011</v>
      </c>
      <c r="E46" s="11" t="str">
        <f>'(FnCalls 1)'!F45</f>
        <v>MMM 2011</v>
      </c>
      <c r="F46" s="11" t="str">
        <f>'(FnCalls 1)'!F46</f>
        <v>MMM 2011</v>
      </c>
      <c r="G46" s="94" t="str">
        <f>'(FnCalls 1)'!H41</f>
        <v>2011</v>
      </c>
    </row>
    <row r="47" spans="1:8" ht="12.75" hidden="1" customHeight="1" outlineLevel="3" x14ac:dyDescent="0.2">
      <c r="A47" s="128" t="str">
        <f>Labels!B134</f>
        <v>Revenue Growth</v>
      </c>
      <c r="B47" s="165"/>
      <c r="C47" s="165"/>
      <c r="D47" s="165"/>
      <c r="E47" s="165"/>
      <c r="F47" s="165"/>
      <c r="G47" s="151"/>
    </row>
    <row r="48" spans="1:8" ht="12.75" hidden="1" customHeight="1" outlineLevel="3" x14ac:dyDescent="0.2">
      <c r="A48" s="142" t="str">
        <f>"   "&amp;Labels!B259</f>
        <v xml:space="preserve">   Location 1</v>
      </c>
      <c r="B48" s="166" t="str">
        <f t="shared" ref="B48:F50" si="12">IF(B23=0," ",C23/B23-1)</f>
        <v xml:space="preserve"> </v>
      </c>
      <c r="C48" s="166" t="str">
        <f t="shared" si="12"/>
        <v xml:space="preserve"> </v>
      </c>
      <c r="D48" s="166" t="str">
        <f t="shared" si="12"/>
        <v xml:space="preserve"> </v>
      </c>
      <c r="E48" s="166" t="str">
        <f t="shared" si="12"/>
        <v xml:space="preserve"> </v>
      </c>
      <c r="F48" s="166" t="str">
        <f t="shared" si="12"/>
        <v xml:space="preserve"> </v>
      </c>
      <c r="G48" s="153" t="str">
        <f>" "</f>
        <v xml:space="preserve"> </v>
      </c>
    </row>
    <row r="49" spans="1:8" ht="12.75" hidden="1" customHeight="1" outlineLevel="3" x14ac:dyDescent="0.2">
      <c r="A49" s="142" t="str">
        <f>"   "&amp;Labels!B260</f>
        <v xml:space="preserve">   Location 2</v>
      </c>
      <c r="B49" s="166" t="str">
        <f t="shared" si="12"/>
        <v xml:space="preserve"> </v>
      </c>
      <c r="C49" s="166" t="str">
        <f t="shared" si="12"/>
        <v xml:space="preserve"> </v>
      </c>
      <c r="D49" s="166" t="str">
        <f t="shared" si="12"/>
        <v xml:space="preserve"> </v>
      </c>
      <c r="E49" s="166" t="str">
        <f t="shared" si="12"/>
        <v xml:space="preserve"> </v>
      </c>
      <c r="F49" s="166" t="str">
        <f t="shared" si="12"/>
        <v xml:space="preserve"> </v>
      </c>
      <c r="G49" s="153" t="str">
        <f>" "</f>
        <v xml:space="preserve"> </v>
      </c>
    </row>
    <row r="50" spans="1:8" ht="12.75" hidden="1" customHeight="1" outlineLevel="3" x14ac:dyDescent="0.2">
      <c r="A50" s="134" t="str">
        <f>"   "&amp;Labels!C258</f>
        <v xml:space="preserve">   Total</v>
      </c>
      <c r="B50" s="167" t="str">
        <f t="shared" si="12"/>
        <v xml:space="preserve"> </v>
      </c>
      <c r="C50" s="167" t="str">
        <f t="shared" si="12"/>
        <v xml:space="preserve"> </v>
      </c>
      <c r="D50" s="167" t="str">
        <f t="shared" si="12"/>
        <v xml:space="preserve"> </v>
      </c>
      <c r="E50" s="167" t="str">
        <f t="shared" si="12"/>
        <v xml:space="preserve"> </v>
      </c>
      <c r="F50" s="167" t="str">
        <f t="shared" si="12"/>
        <v xml:space="preserve"> </v>
      </c>
      <c r="G50" s="153" t="str">
        <f>" "</f>
        <v xml:space="preserve"> </v>
      </c>
    </row>
    <row r="51" spans="1:8" ht="12.75" hidden="1" customHeight="1" outlineLevel="3" x14ac:dyDescent="0.2">
      <c r="A51" s="91"/>
      <c r="B51" s="6"/>
      <c r="C51" s="6"/>
      <c r="D51" s="6"/>
      <c r="E51" s="6"/>
      <c r="F51" s="6"/>
      <c r="G51" s="91"/>
    </row>
    <row r="52" spans="1:8" ht="12.75" hidden="1" customHeight="1" outlineLevel="3" x14ac:dyDescent="0.2">
      <c r="A52" s="134" t="str">
        <f>Labels!B139</f>
        <v>Revenue Growth - Products</v>
      </c>
      <c r="B52" s="167"/>
      <c r="C52" s="167"/>
      <c r="D52" s="167"/>
      <c r="E52" s="167"/>
      <c r="F52" s="167"/>
      <c r="G52" s="153"/>
    </row>
    <row r="53" spans="1:8" ht="12.75" hidden="1" customHeight="1" outlineLevel="3" x14ac:dyDescent="0.2">
      <c r="A53" s="142" t="str">
        <f>"   "&amp;Labels!B259</f>
        <v xml:space="preserve">   Location 1</v>
      </c>
      <c r="B53" s="166" t="str">
        <f t="shared" ref="B53:F54" si="13">IF(B40=0," ",C40/B40-1)</f>
        <v xml:space="preserve"> </v>
      </c>
      <c r="C53" s="166" t="str">
        <f t="shared" si="13"/>
        <v xml:space="preserve"> </v>
      </c>
      <c r="D53" s="166" t="str">
        <f t="shared" si="13"/>
        <v xml:space="preserve"> </v>
      </c>
      <c r="E53" s="166" t="str">
        <f t="shared" si="13"/>
        <v xml:space="preserve"> </v>
      </c>
      <c r="F53" s="166" t="str">
        <f t="shared" si="13"/>
        <v xml:space="preserve"> </v>
      </c>
      <c r="G53" s="153" t="str">
        <f>" "</f>
        <v xml:space="preserve"> </v>
      </c>
    </row>
    <row r="54" spans="1:8" ht="12.75" hidden="1" customHeight="1" outlineLevel="3" x14ac:dyDescent="0.2">
      <c r="A54" s="142" t="str">
        <f>"   "&amp;Labels!B260</f>
        <v xml:space="preserve">   Location 2</v>
      </c>
      <c r="B54" s="166" t="str">
        <f t="shared" si="13"/>
        <v xml:space="preserve"> </v>
      </c>
      <c r="C54" s="166" t="str">
        <f t="shared" si="13"/>
        <v xml:space="preserve"> </v>
      </c>
      <c r="D54" s="166" t="str">
        <f t="shared" si="13"/>
        <v xml:space="preserve"> </v>
      </c>
      <c r="E54" s="166" t="str">
        <f t="shared" si="13"/>
        <v xml:space="preserve"> </v>
      </c>
      <c r="F54" s="166" t="str">
        <f t="shared" si="13"/>
        <v xml:space="preserve"> </v>
      </c>
      <c r="G54" s="153" t="str">
        <f>" "</f>
        <v xml:space="preserve"> </v>
      </c>
    </row>
    <row r="55" spans="1:8" ht="12.75" hidden="1" customHeight="1" outlineLevel="3" x14ac:dyDescent="0.2">
      <c r="A55" s="131" t="str">
        <f>"   "&amp;Labels!C258</f>
        <v xml:space="preserve">   Total</v>
      </c>
      <c r="B55" s="168" t="str">
        <f>IF(B8=0," ",C8/B8-1)</f>
        <v xml:space="preserve"> </v>
      </c>
      <c r="C55" s="168" t="str">
        <f>IF(C8=0," ",D8/C8-1)</f>
        <v xml:space="preserve"> </v>
      </c>
      <c r="D55" s="168" t="str">
        <f>IF(D8=0," ",E8/D8-1)</f>
        <v xml:space="preserve"> </v>
      </c>
      <c r="E55" s="168" t="str">
        <f>IF(E8=0," ",F8/E8-1)</f>
        <v xml:space="preserve"> </v>
      </c>
      <c r="F55" s="168" t="str">
        <f>IF(F8=0," ",G8/F8-1)</f>
        <v xml:space="preserve"> </v>
      </c>
      <c r="G55" s="133" t="str">
        <f>" "</f>
        <v xml:space="preserve"> </v>
      </c>
    </row>
    <row r="56" spans="1:8" ht="12.75" hidden="1" customHeight="1" outlineLevel="3" collapsed="1" x14ac:dyDescent="0.2"/>
    <row r="57" spans="1:8" ht="12.75" hidden="1" customHeight="1" outlineLevel="2" collapsed="1" x14ac:dyDescent="0.2"/>
    <row r="58" spans="1:8" ht="12.75" hidden="1" customHeight="1" outlineLevel="1" collapsed="1" x14ac:dyDescent="0.2">
      <c r="A58" s="3" t="str">
        <f>"Sales Units"</f>
        <v>Sales Units</v>
      </c>
    </row>
    <row r="59" spans="1:8" ht="12.75" hidden="1" customHeight="1" outlineLevel="2" x14ac:dyDescent="0.2">
      <c r="A59" s="3" t="str">
        <f>""</f>
        <v/>
      </c>
    </row>
    <row r="60" spans="1:8" ht="12.75" hidden="1" customHeight="1" outlineLevel="2" x14ac:dyDescent="0.2">
      <c r="A60" s="1" t="str">
        <f>"Product Detail"</f>
        <v>Product Detail</v>
      </c>
    </row>
    <row r="61" spans="1:8" ht="12.75" hidden="1" customHeight="1" outlineLevel="3" x14ac:dyDescent="0.2">
      <c r="A61" s="1" t="str">
        <f>""</f>
        <v/>
      </c>
    </row>
    <row r="62" spans="1:8" ht="12.75" hidden="1" customHeight="1" outlineLevel="3" x14ac:dyDescent="0.2">
      <c r="B62" s="10" t="str">
        <f>'(FnCalls 1)'!F41</f>
        <v>MMM 2011</v>
      </c>
      <c r="C62" s="11" t="str">
        <f>'(FnCalls 1)'!F42</f>
        <v>MMM 2011</v>
      </c>
      <c r="D62" s="11" t="str">
        <f>'(FnCalls 1)'!F43</f>
        <v>MMM 2011</v>
      </c>
      <c r="E62" s="11" t="str">
        <f>'(FnCalls 1)'!F44</f>
        <v>MMM 2011</v>
      </c>
      <c r="F62" s="11" t="str">
        <f>'(FnCalls 1)'!F45</f>
        <v>MMM 2011</v>
      </c>
      <c r="G62" s="11" t="str">
        <f>'(FnCalls 1)'!F46</f>
        <v>MMM 2011</v>
      </c>
      <c r="H62" s="94" t="str">
        <f>'(FnCalls 1)'!H41</f>
        <v>2011</v>
      </c>
    </row>
    <row r="63" spans="1:8" ht="12.75" hidden="1" customHeight="1" outlineLevel="3" x14ac:dyDescent="0.2">
      <c r="A63" s="128" t="str">
        <f>Labels!B147</f>
        <v>Sales Units - Products</v>
      </c>
      <c r="B63" s="169"/>
      <c r="C63" s="169"/>
      <c r="D63" s="169"/>
      <c r="E63" s="169"/>
      <c r="F63" s="169"/>
      <c r="G63" s="169"/>
      <c r="H63" s="170"/>
    </row>
    <row r="64" spans="1:8" ht="12.75" hidden="1" customHeight="1" outlineLevel="3" x14ac:dyDescent="0.2">
      <c r="A64" s="142" t="str">
        <f>"   "&amp;Labels!B255</f>
        <v xml:space="preserve">   Product 1</v>
      </c>
      <c r="B64" s="171"/>
      <c r="C64" s="171"/>
      <c r="D64" s="171"/>
      <c r="E64" s="171"/>
      <c r="F64" s="171"/>
      <c r="G64" s="171"/>
      <c r="H64" s="172"/>
    </row>
    <row r="65" spans="1:8" ht="12.75" hidden="1" customHeight="1" outlineLevel="3" x14ac:dyDescent="0.2">
      <c r="A65" s="144" t="str">
        <f>"      "&amp;Labels!B259</f>
        <v xml:space="preserve">      Location 1</v>
      </c>
      <c r="B65" s="173">
        <f>IF(Inputs!D14,ROUND(0+IF(1=1,Inputs!D18,IF(1=2,0,IF(1=3,0,0))),0),0+IF(1=1,Inputs!D18,IF(1=2,0,IF(1=3,0,0))))</f>
        <v>0</v>
      </c>
      <c r="C65" s="173">
        <f>IF(Inputs!D14,ROUND(0+IF(1=1,Inputs!E18,IF(1=2,0,IF(1=3,0,0))),0),0+IF(1=1,Inputs!E18,IF(1=2,0,IF(1=3,0,0))))</f>
        <v>0</v>
      </c>
      <c r="D65" s="173">
        <f>IF(Inputs!D14,ROUND(0+IF(1=1,Inputs!F18,IF(1=2,0,IF(1=3,0,0))),0),0+IF(1=1,Inputs!F18,IF(1=2,0,IF(1=3,0,0))))</f>
        <v>0</v>
      </c>
      <c r="E65" s="173">
        <f>IF(Inputs!D14,ROUND(0+IF(1=1,Inputs!G18,IF(1=2,0,IF(1=3,0,0))),0),0+IF(1=1,Inputs!G18,IF(1=2,0,IF(1=3,0,0))))</f>
        <v>0</v>
      </c>
      <c r="F65" s="173">
        <f>IF(Inputs!D14,ROUND(0+IF(1=1,Inputs!H18,IF(1=2,0,IF(1=3,0,0))),0),0+IF(1=1,Inputs!H18,IF(1=2,0,IF(1=3,0,0))))</f>
        <v>0</v>
      </c>
      <c r="G65" s="173">
        <f>IF(Inputs!D14,ROUND(0+IF(1=1,Inputs!I18,IF(1=2,0,IF(1=3,0,0))),0),0+IF(1=1,Inputs!I18,IF(1=2,0,IF(1=3,0,0))))</f>
        <v>0</v>
      </c>
      <c r="H65" s="172">
        <f>SUM(B65:G65)</f>
        <v>0</v>
      </c>
    </row>
    <row r="66" spans="1:8" ht="12.75" hidden="1" customHeight="1" outlineLevel="3" x14ac:dyDescent="0.2">
      <c r="A66" s="144" t="str">
        <f>"      "&amp;Labels!B260</f>
        <v xml:space="preserve">      Location 2</v>
      </c>
      <c r="B66" s="173">
        <f>IF(Inputs!D14,ROUND(0+IF(1=1,Inputs!D19,IF(1=2,0,IF(1=3,0,0))),0),0+IF(1=1,Inputs!D19,IF(1=2,0,IF(1=3,0,0))))</f>
        <v>0</v>
      </c>
      <c r="C66" s="173">
        <f>IF(Inputs!D14,ROUND(0+IF(1=1,Inputs!E19,IF(1=2,0,IF(1=3,0,0))),0),0+IF(1=1,Inputs!E19,IF(1=2,0,IF(1=3,0,0))))</f>
        <v>0</v>
      </c>
      <c r="D66" s="173">
        <f>IF(Inputs!D14,ROUND(0+IF(1=1,Inputs!F19,IF(1=2,0,IF(1=3,0,0))),0),0+IF(1=1,Inputs!F19,IF(1=2,0,IF(1=3,0,0))))</f>
        <v>0</v>
      </c>
      <c r="E66" s="173">
        <f>IF(Inputs!D14,ROUND(0+IF(1=1,Inputs!G19,IF(1=2,0,IF(1=3,0,0))),0),0+IF(1=1,Inputs!G19,IF(1=2,0,IF(1=3,0,0))))</f>
        <v>0</v>
      </c>
      <c r="F66" s="173">
        <f>IF(Inputs!D14,ROUND(0+IF(1=1,Inputs!H19,IF(1=2,0,IF(1=3,0,0))),0),0+IF(1=1,Inputs!H19,IF(1=2,0,IF(1=3,0,0))))</f>
        <v>0</v>
      </c>
      <c r="G66" s="173">
        <f>IF(Inputs!D14,ROUND(0+IF(1=1,Inputs!I19,IF(1=2,0,IF(1=3,0,0))),0),0+IF(1=1,Inputs!I19,IF(1=2,0,IF(1=3,0,0))))</f>
        <v>0</v>
      </c>
      <c r="H66" s="172">
        <f>SUM(B66:G66)</f>
        <v>0</v>
      </c>
    </row>
    <row r="67" spans="1:8" ht="12.75" hidden="1" customHeight="1" outlineLevel="3" x14ac:dyDescent="0.2">
      <c r="A67" s="142" t="str">
        <f>"      "&amp;Labels!C258</f>
        <v xml:space="preserve">      Total</v>
      </c>
      <c r="B67" s="171">
        <f t="shared" ref="B67:G67" si="14">SUM(B65:B66)</f>
        <v>0</v>
      </c>
      <c r="C67" s="171">
        <f t="shared" si="14"/>
        <v>0</v>
      </c>
      <c r="D67" s="171">
        <f t="shared" si="14"/>
        <v>0</v>
      </c>
      <c r="E67" s="171">
        <f t="shared" si="14"/>
        <v>0</v>
      </c>
      <c r="F67" s="171">
        <f t="shared" si="14"/>
        <v>0</v>
      </c>
      <c r="G67" s="171">
        <f t="shared" si="14"/>
        <v>0</v>
      </c>
      <c r="H67" s="172">
        <f>SUM(B67:G67)</f>
        <v>0</v>
      </c>
    </row>
    <row r="68" spans="1:8" ht="12.75" hidden="1" customHeight="1" outlineLevel="3" x14ac:dyDescent="0.2">
      <c r="A68" s="142" t="str">
        <f>"   "&amp;Labels!B256</f>
        <v xml:space="preserve">   Product 2</v>
      </c>
      <c r="B68" s="171"/>
      <c r="C68" s="171"/>
      <c r="D68" s="171"/>
      <c r="E68" s="171"/>
      <c r="F68" s="171"/>
      <c r="G68" s="171"/>
      <c r="H68" s="172"/>
    </row>
    <row r="69" spans="1:8" ht="12.75" hidden="1" customHeight="1" outlineLevel="3" x14ac:dyDescent="0.2">
      <c r="A69" s="144" t="str">
        <f>"      "&amp;Labels!B259</f>
        <v xml:space="preserve">      Location 1</v>
      </c>
      <c r="B69" s="173">
        <f>IF(Inputs!D14,ROUND(0+IF(1=1,Inputs!D20,IF(1=2,0,IF(1=3,0,0))),0),0+IF(1=1,Inputs!D20,IF(1=2,0,IF(1=3,0,0))))</f>
        <v>0</v>
      </c>
      <c r="C69" s="173">
        <f>IF(Inputs!D14,ROUND(0+IF(1=1,Inputs!E20,IF(1=2,0,IF(1=3,0,0))),0),0+IF(1=1,Inputs!E20,IF(1=2,0,IF(1=3,0,0))))</f>
        <v>0</v>
      </c>
      <c r="D69" s="173">
        <f>IF(Inputs!D14,ROUND(0+IF(1=1,Inputs!F20,IF(1=2,0,IF(1=3,0,0))),0),0+IF(1=1,Inputs!F20,IF(1=2,0,IF(1=3,0,0))))</f>
        <v>0</v>
      </c>
      <c r="E69" s="173">
        <f>IF(Inputs!D14,ROUND(0+IF(1=1,Inputs!G20,IF(1=2,0,IF(1=3,0,0))),0),0+IF(1=1,Inputs!G20,IF(1=2,0,IF(1=3,0,0))))</f>
        <v>0</v>
      </c>
      <c r="F69" s="173">
        <f>IF(Inputs!D14,ROUND(0+IF(1=1,Inputs!H20,IF(1=2,0,IF(1=3,0,0))),0),0+IF(1=1,Inputs!H20,IF(1=2,0,IF(1=3,0,0))))</f>
        <v>0</v>
      </c>
      <c r="G69" s="173">
        <f>IF(Inputs!D14,ROUND(0+IF(1=1,Inputs!I20,IF(1=2,0,IF(1=3,0,0))),0),0+IF(1=1,Inputs!I20,IF(1=2,0,IF(1=3,0,0))))</f>
        <v>0</v>
      </c>
      <c r="H69" s="172">
        <f t="shared" ref="H69:H74" si="15">SUM(B69:G69)</f>
        <v>0</v>
      </c>
    </row>
    <row r="70" spans="1:8" ht="12.75" hidden="1" customHeight="1" outlineLevel="3" x14ac:dyDescent="0.2">
      <c r="A70" s="144" t="str">
        <f>"      "&amp;Labels!B260</f>
        <v xml:space="preserve">      Location 2</v>
      </c>
      <c r="B70" s="173">
        <f>IF(Inputs!D14,ROUND(0+IF(1=1,Inputs!D21,IF(1=2,0,IF(1=3,0,0))),0),0+IF(1=1,Inputs!D21,IF(1=2,0,IF(1=3,0,0))))</f>
        <v>0</v>
      </c>
      <c r="C70" s="173">
        <f>IF(Inputs!D14,ROUND(0+IF(1=1,Inputs!E21,IF(1=2,0,IF(1=3,0,0))),0),0+IF(1=1,Inputs!E21,IF(1=2,0,IF(1=3,0,0))))</f>
        <v>0</v>
      </c>
      <c r="D70" s="173">
        <f>IF(Inputs!D14,ROUND(0+IF(1=1,Inputs!F21,IF(1=2,0,IF(1=3,0,0))),0),0+IF(1=1,Inputs!F21,IF(1=2,0,IF(1=3,0,0))))</f>
        <v>0</v>
      </c>
      <c r="E70" s="173">
        <f>IF(Inputs!D14,ROUND(0+IF(1=1,Inputs!G21,IF(1=2,0,IF(1=3,0,0))),0),0+IF(1=1,Inputs!G21,IF(1=2,0,IF(1=3,0,0))))</f>
        <v>0</v>
      </c>
      <c r="F70" s="173">
        <f>IF(Inputs!D14,ROUND(0+IF(1=1,Inputs!H21,IF(1=2,0,IF(1=3,0,0))),0),0+IF(1=1,Inputs!H21,IF(1=2,0,IF(1=3,0,0))))</f>
        <v>0</v>
      </c>
      <c r="G70" s="173">
        <f>IF(Inputs!D14,ROUND(0+IF(1=1,Inputs!I21,IF(1=2,0,IF(1=3,0,0))),0),0+IF(1=1,Inputs!I21,IF(1=2,0,IF(1=3,0,0))))</f>
        <v>0</v>
      </c>
      <c r="H70" s="172">
        <f t="shared" si="15"/>
        <v>0</v>
      </c>
    </row>
    <row r="71" spans="1:8" ht="12.75" hidden="1" customHeight="1" outlineLevel="3" x14ac:dyDescent="0.2">
      <c r="A71" s="142" t="str">
        <f>"      "&amp;Labels!C258</f>
        <v xml:space="preserve">      Total</v>
      </c>
      <c r="B71" s="171">
        <f t="shared" ref="B71:G71" si="16">SUM(B69:B70)</f>
        <v>0</v>
      </c>
      <c r="C71" s="171">
        <f t="shared" si="16"/>
        <v>0</v>
      </c>
      <c r="D71" s="171">
        <f t="shared" si="16"/>
        <v>0</v>
      </c>
      <c r="E71" s="171">
        <f t="shared" si="16"/>
        <v>0</v>
      </c>
      <c r="F71" s="171">
        <f t="shared" si="16"/>
        <v>0</v>
      </c>
      <c r="G71" s="171">
        <f t="shared" si="16"/>
        <v>0</v>
      </c>
      <c r="H71" s="172">
        <f t="shared" si="15"/>
        <v>0</v>
      </c>
    </row>
    <row r="72" spans="1:8" ht="12.75" hidden="1" customHeight="1" outlineLevel="3" x14ac:dyDescent="0.2">
      <c r="A72" s="134" t="str">
        <f>"   "&amp;Labels!C254</f>
        <v xml:space="preserve">   Total</v>
      </c>
      <c r="B72" s="174">
        <f t="shared" ref="B72:G72" si="17">SUM(B67,B71)</f>
        <v>0</v>
      </c>
      <c r="C72" s="174">
        <f t="shared" si="17"/>
        <v>0</v>
      </c>
      <c r="D72" s="174">
        <f t="shared" si="17"/>
        <v>0</v>
      </c>
      <c r="E72" s="174">
        <f t="shared" si="17"/>
        <v>0</v>
      </c>
      <c r="F72" s="174">
        <f t="shared" si="17"/>
        <v>0</v>
      </c>
      <c r="G72" s="174">
        <f t="shared" si="17"/>
        <v>0</v>
      </c>
      <c r="H72" s="172">
        <f t="shared" si="15"/>
        <v>0</v>
      </c>
    </row>
    <row r="73" spans="1:8" ht="12.75" hidden="1" customHeight="1" outlineLevel="3" x14ac:dyDescent="0.2">
      <c r="A73" s="144" t="str">
        <f>"      "&amp;Labels!B259</f>
        <v xml:space="preserve">      Location 1</v>
      </c>
      <c r="B73" s="173">
        <f t="shared" ref="B73:G75" si="18">SUM(B65,B69)</f>
        <v>0</v>
      </c>
      <c r="C73" s="173">
        <f t="shared" si="18"/>
        <v>0</v>
      </c>
      <c r="D73" s="173">
        <f t="shared" si="18"/>
        <v>0</v>
      </c>
      <c r="E73" s="173">
        <f t="shared" si="18"/>
        <v>0</v>
      </c>
      <c r="F73" s="173">
        <f t="shared" si="18"/>
        <v>0</v>
      </c>
      <c r="G73" s="173">
        <f t="shared" si="18"/>
        <v>0</v>
      </c>
      <c r="H73" s="172">
        <f t="shared" si="15"/>
        <v>0</v>
      </c>
    </row>
    <row r="74" spans="1:8" ht="12.75" hidden="1" customHeight="1" outlineLevel="3" x14ac:dyDescent="0.2">
      <c r="A74" s="144" t="str">
        <f>"      "&amp;Labels!B260</f>
        <v xml:space="preserve">      Location 2</v>
      </c>
      <c r="B74" s="173">
        <f t="shared" si="18"/>
        <v>0</v>
      </c>
      <c r="C74" s="173">
        <f t="shared" si="18"/>
        <v>0</v>
      </c>
      <c r="D74" s="173">
        <f t="shared" si="18"/>
        <v>0</v>
      </c>
      <c r="E74" s="173">
        <f t="shared" si="18"/>
        <v>0</v>
      </c>
      <c r="F74" s="173">
        <f t="shared" si="18"/>
        <v>0</v>
      </c>
      <c r="G74" s="173">
        <f t="shared" si="18"/>
        <v>0</v>
      </c>
      <c r="H74" s="172">
        <f t="shared" si="15"/>
        <v>0</v>
      </c>
    </row>
    <row r="75" spans="1:8" ht="12.75" hidden="1" customHeight="1" outlineLevel="3" x14ac:dyDescent="0.2">
      <c r="A75" s="163" t="str">
        <f>"      "&amp;Labels!C258</f>
        <v xml:space="preserve">      Total</v>
      </c>
      <c r="B75" s="175">
        <f t="shared" si="18"/>
        <v>0</v>
      </c>
      <c r="C75" s="175">
        <f t="shared" si="18"/>
        <v>0</v>
      </c>
      <c r="D75" s="175">
        <f t="shared" si="18"/>
        <v>0</v>
      </c>
      <c r="E75" s="175">
        <f t="shared" si="18"/>
        <v>0</v>
      </c>
      <c r="F75" s="175">
        <f t="shared" si="18"/>
        <v>0</v>
      </c>
      <c r="G75" s="175">
        <f t="shared" si="18"/>
        <v>0</v>
      </c>
      <c r="H75" s="176">
        <f>SUM(B72:G72)</f>
        <v>0</v>
      </c>
    </row>
    <row r="76" spans="1:8" ht="12.75" hidden="1" customHeight="1" outlineLevel="3" collapsed="1" x14ac:dyDescent="0.2"/>
    <row r="77" spans="1:8" ht="12.75" hidden="1" customHeight="1" outlineLevel="2" collapsed="1" x14ac:dyDescent="0.2">
      <c r="A77" s="1" t="str">
        <f>"Units Growth"</f>
        <v>Units Growth</v>
      </c>
    </row>
    <row r="78" spans="1:8" ht="12.75" hidden="1" customHeight="1" outlineLevel="3" x14ac:dyDescent="0.2">
      <c r="A78" s="1" t="str">
        <f>" "</f>
        <v xml:space="preserve"> </v>
      </c>
    </row>
    <row r="79" spans="1:8" ht="12.75" hidden="1" customHeight="1" outlineLevel="3" x14ac:dyDescent="0.2">
      <c r="B79" s="10" t="str">
        <f>'(FnCalls 1)'!F42</f>
        <v>MMM 2011</v>
      </c>
      <c r="C79" s="11" t="str">
        <f>'(FnCalls 1)'!F43</f>
        <v>MMM 2011</v>
      </c>
      <c r="D79" s="11" t="str">
        <f>'(FnCalls 1)'!F44</f>
        <v>MMM 2011</v>
      </c>
      <c r="E79" s="11" t="str">
        <f>'(FnCalls 1)'!F45</f>
        <v>MMM 2011</v>
      </c>
      <c r="F79" s="11" t="str">
        <f>'(FnCalls 1)'!F46</f>
        <v>MMM 2011</v>
      </c>
      <c r="G79" s="94" t="str">
        <f>'(FnCalls 1)'!H41</f>
        <v>2011</v>
      </c>
    </row>
    <row r="80" spans="1:8" ht="12.75" hidden="1" customHeight="1" outlineLevel="3" x14ac:dyDescent="0.2">
      <c r="A80" s="128" t="str">
        <f>Labels!B145</f>
        <v xml:space="preserve">Sales Unit Growth - Product </v>
      </c>
      <c r="B80" s="165"/>
      <c r="C80" s="165"/>
      <c r="D80" s="165"/>
      <c r="E80" s="165"/>
      <c r="F80" s="165"/>
      <c r="G80" s="151"/>
    </row>
    <row r="81" spans="1:8" ht="12.75" hidden="1" customHeight="1" outlineLevel="3" x14ac:dyDescent="0.2">
      <c r="A81" s="142" t="str">
        <f>"   "&amp;Labels!B259</f>
        <v xml:space="preserve">   Location 1</v>
      </c>
      <c r="B81" s="166" t="str">
        <f t="shared" ref="B81:F82" si="19">IF(B73=0," ",C73/B73-1)</f>
        <v xml:space="preserve"> </v>
      </c>
      <c r="C81" s="166" t="str">
        <f t="shared" si="19"/>
        <v xml:space="preserve"> </v>
      </c>
      <c r="D81" s="166" t="str">
        <f t="shared" si="19"/>
        <v xml:space="preserve"> </v>
      </c>
      <c r="E81" s="166" t="str">
        <f t="shared" si="19"/>
        <v xml:space="preserve"> </v>
      </c>
      <c r="F81" s="166" t="str">
        <f t="shared" si="19"/>
        <v xml:space="preserve"> </v>
      </c>
      <c r="G81" s="153" t="str">
        <f>" "</f>
        <v xml:space="preserve"> </v>
      </c>
    </row>
    <row r="82" spans="1:8" ht="12.75" hidden="1" customHeight="1" outlineLevel="3" x14ac:dyDescent="0.2">
      <c r="A82" s="142" t="str">
        <f>"   "&amp;Labels!B260</f>
        <v xml:space="preserve">   Location 2</v>
      </c>
      <c r="B82" s="166" t="str">
        <f t="shared" si="19"/>
        <v xml:space="preserve"> </v>
      </c>
      <c r="C82" s="166" t="str">
        <f t="shared" si="19"/>
        <v xml:space="preserve"> </v>
      </c>
      <c r="D82" s="166" t="str">
        <f t="shared" si="19"/>
        <v xml:space="preserve"> </v>
      </c>
      <c r="E82" s="166" t="str">
        <f t="shared" si="19"/>
        <v xml:space="preserve"> </v>
      </c>
      <c r="F82" s="166" t="str">
        <f t="shared" si="19"/>
        <v xml:space="preserve"> </v>
      </c>
      <c r="G82" s="153" t="str">
        <f>" "</f>
        <v xml:space="preserve"> </v>
      </c>
    </row>
    <row r="83" spans="1:8" ht="12.75" hidden="1" customHeight="1" outlineLevel="3" x14ac:dyDescent="0.2">
      <c r="A83" s="131" t="str">
        <f>"   "&amp;Labels!C258</f>
        <v xml:space="preserve">   Total</v>
      </c>
      <c r="B83" s="168" t="str">
        <f>IF(B72=0," ",C72/B72-1)</f>
        <v xml:space="preserve"> </v>
      </c>
      <c r="C83" s="168" t="str">
        <f>IF(C72=0," ",D72/C72-1)</f>
        <v xml:space="preserve"> </v>
      </c>
      <c r="D83" s="168" t="str">
        <f>IF(D72=0," ",E72/D72-1)</f>
        <v xml:space="preserve"> </v>
      </c>
      <c r="E83" s="168" t="str">
        <f>IF(E72=0," ",F72/E72-1)</f>
        <v xml:space="preserve"> </v>
      </c>
      <c r="F83" s="168" t="str">
        <f>IF(F72=0," ",G72/F72-1)</f>
        <v xml:space="preserve"> </v>
      </c>
      <c r="G83" s="133" t="str">
        <f>" "</f>
        <v xml:space="preserve"> </v>
      </c>
    </row>
    <row r="84" spans="1:8" ht="12.75" hidden="1" customHeight="1" outlineLevel="3" collapsed="1" x14ac:dyDescent="0.2"/>
    <row r="85" spans="1:8" ht="12.75" hidden="1" customHeight="1" outlineLevel="2" collapsed="1" x14ac:dyDescent="0.2"/>
    <row r="86" spans="1:8" ht="12.75" hidden="1" customHeight="1" outlineLevel="1" collapsed="1" x14ac:dyDescent="0.2"/>
    <row r="87" spans="1:8" ht="12.75" customHeight="1" collapsed="1" x14ac:dyDescent="0.2"/>
    <row r="88" spans="1:8" ht="12.75" customHeight="1" x14ac:dyDescent="0.2">
      <c r="A88" s="322" t="str">
        <f>"Summary by Product"</f>
        <v>Summary by Product</v>
      </c>
      <c r="B88" s="322"/>
    </row>
    <row r="89" spans="1:8" ht="12.75" hidden="1" customHeight="1" outlineLevel="1" x14ac:dyDescent="0.2">
      <c r="A89" s="322" t="str">
        <f>""</f>
        <v/>
      </c>
      <c r="B89" s="322"/>
    </row>
    <row r="90" spans="1:8" ht="12.75" hidden="1" customHeight="1" outlineLevel="1" x14ac:dyDescent="0.2">
      <c r="A90" s="3" t="str">
        <f>"Revenue"</f>
        <v>Revenue</v>
      </c>
    </row>
    <row r="91" spans="1:8" ht="12.75" hidden="1" customHeight="1" outlineLevel="2" x14ac:dyDescent="0.2">
      <c r="A91" s="3" t="str">
        <f>""</f>
        <v/>
      </c>
    </row>
    <row r="92" spans="1:8" ht="12.75" hidden="1" customHeight="1" outlineLevel="2" x14ac:dyDescent="0.2">
      <c r="A92" s="1" t="str">
        <f>"Products"</f>
        <v>Products</v>
      </c>
    </row>
    <row r="93" spans="1:8" ht="12.75" hidden="1" customHeight="1" outlineLevel="3" x14ac:dyDescent="0.2">
      <c r="A93" s="1" t="str">
        <f>""</f>
        <v/>
      </c>
    </row>
    <row r="94" spans="1:8" ht="12.75" hidden="1" customHeight="1" outlineLevel="3" x14ac:dyDescent="0.2">
      <c r="B94" s="10" t="str">
        <f>'(FnCalls 1)'!F41</f>
        <v>MMM 2011</v>
      </c>
      <c r="C94" s="11" t="str">
        <f>'(FnCalls 1)'!F42</f>
        <v>MMM 2011</v>
      </c>
      <c r="D94" s="11" t="str">
        <f>'(FnCalls 1)'!F43</f>
        <v>MMM 2011</v>
      </c>
      <c r="E94" s="11" t="str">
        <f>'(FnCalls 1)'!F44</f>
        <v>MMM 2011</v>
      </c>
      <c r="F94" s="11" t="str">
        <f>'(FnCalls 1)'!F45</f>
        <v>MMM 2011</v>
      </c>
      <c r="G94" s="11" t="str">
        <f>'(FnCalls 1)'!F46</f>
        <v>MMM 2011</v>
      </c>
      <c r="H94" s="94" t="str">
        <f>'(FnCalls 1)'!H41</f>
        <v>2011</v>
      </c>
    </row>
    <row r="95" spans="1:8" ht="12.75" hidden="1" customHeight="1" outlineLevel="3" x14ac:dyDescent="0.2">
      <c r="A95" s="128" t="str">
        <f>Labels!B137</f>
        <v>Revenue - Products</v>
      </c>
      <c r="B95" s="141"/>
      <c r="C95" s="141"/>
      <c r="D95" s="141"/>
      <c r="E95" s="141"/>
      <c r="F95" s="141"/>
      <c r="G95" s="141"/>
      <c r="H95" s="130"/>
    </row>
    <row r="96" spans="1:8" ht="12.75" hidden="1" customHeight="1" outlineLevel="3" x14ac:dyDescent="0.2">
      <c r="A96" s="142" t="str">
        <f>"   "&amp;Labels!B255</f>
        <v xml:space="preserve">   Product 1</v>
      </c>
      <c r="B96" s="143">
        <f t="shared" ref="B96:G96" si="20">SUM(B32:B33)</f>
        <v>0</v>
      </c>
      <c r="C96" s="143">
        <f t="shared" si="20"/>
        <v>0</v>
      </c>
      <c r="D96" s="143">
        <f t="shared" si="20"/>
        <v>0</v>
      </c>
      <c r="E96" s="143">
        <f t="shared" si="20"/>
        <v>0</v>
      </c>
      <c r="F96" s="143">
        <f t="shared" si="20"/>
        <v>0</v>
      </c>
      <c r="G96" s="143">
        <f t="shared" si="20"/>
        <v>0</v>
      </c>
      <c r="H96" s="136">
        <f>SUM(B96:G96)</f>
        <v>0</v>
      </c>
    </row>
    <row r="97" spans="1:8" ht="12.75" hidden="1" customHeight="1" outlineLevel="3" x14ac:dyDescent="0.2">
      <c r="A97" s="142" t="str">
        <f>"   "&amp;Labels!B256</f>
        <v xml:space="preserve">   Product 2</v>
      </c>
      <c r="B97" s="143">
        <f t="shared" ref="B97:G97" si="21">SUM(B36:B37)</f>
        <v>0</v>
      </c>
      <c r="C97" s="143">
        <f t="shared" si="21"/>
        <v>0</v>
      </c>
      <c r="D97" s="143">
        <f t="shared" si="21"/>
        <v>0</v>
      </c>
      <c r="E97" s="143">
        <f t="shared" si="21"/>
        <v>0</v>
      </c>
      <c r="F97" s="143">
        <f t="shared" si="21"/>
        <v>0</v>
      </c>
      <c r="G97" s="143">
        <f t="shared" si="21"/>
        <v>0</v>
      </c>
      <c r="H97" s="136">
        <f>SUM(B97:G97)</f>
        <v>0</v>
      </c>
    </row>
    <row r="98" spans="1:8" ht="12.75" hidden="1" customHeight="1" outlineLevel="3" x14ac:dyDescent="0.2">
      <c r="A98" s="131" t="str">
        <f>"   "&amp;Labels!C254</f>
        <v xml:space="preserve">   Total</v>
      </c>
      <c r="B98" s="127">
        <f t="shared" ref="B98:G98" si="22">SUM(B96:B97)</f>
        <v>0</v>
      </c>
      <c r="C98" s="127">
        <f t="shared" si="22"/>
        <v>0</v>
      </c>
      <c r="D98" s="127">
        <f t="shared" si="22"/>
        <v>0</v>
      </c>
      <c r="E98" s="127">
        <f t="shared" si="22"/>
        <v>0</v>
      </c>
      <c r="F98" s="127">
        <f t="shared" si="22"/>
        <v>0</v>
      </c>
      <c r="G98" s="127">
        <f t="shared" si="22"/>
        <v>0</v>
      </c>
      <c r="H98" s="146">
        <f>SUM(B98:G98)</f>
        <v>0</v>
      </c>
    </row>
    <row r="99" spans="1:8" ht="12.75" hidden="1" customHeight="1" outlineLevel="3" collapsed="1" x14ac:dyDescent="0.2"/>
    <row r="100" spans="1:8" ht="12.75" hidden="1" customHeight="1" outlineLevel="2" collapsed="1" x14ac:dyDescent="0.2">
      <c r="A100" s="1" t="str">
        <f>"Revenue Growth"</f>
        <v>Revenue Growth</v>
      </c>
    </row>
    <row r="101" spans="1:8" ht="12.75" hidden="1" customHeight="1" outlineLevel="3" x14ac:dyDescent="0.2">
      <c r="A101" s="1" t="str">
        <f>""</f>
        <v/>
      </c>
    </row>
    <row r="102" spans="1:8" ht="12.75" hidden="1" customHeight="1" outlineLevel="3" x14ac:dyDescent="0.2">
      <c r="B102" s="10" t="str">
        <f>'(FnCalls 1)'!F42</f>
        <v>MMM 2011</v>
      </c>
      <c r="C102" s="11" t="str">
        <f>'(FnCalls 1)'!F43</f>
        <v>MMM 2011</v>
      </c>
      <c r="D102" s="11" t="str">
        <f>'(FnCalls 1)'!F44</f>
        <v>MMM 2011</v>
      </c>
      <c r="E102" s="11" t="str">
        <f>'(FnCalls 1)'!F45</f>
        <v>MMM 2011</v>
      </c>
      <c r="F102" s="11" t="str">
        <f>'(FnCalls 1)'!F46</f>
        <v>MMM 2011</v>
      </c>
      <c r="G102" s="94" t="str">
        <f>'(FnCalls 1)'!H41</f>
        <v>2011</v>
      </c>
    </row>
    <row r="103" spans="1:8" ht="12.75" hidden="1" customHeight="1" outlineLevel="3" x14ac:dyDescent="0.2">
      <c r="A103" s="128" t="str">
        <f>Labels!B139</f>
        <v>Revenue Growth - Products</v>
      </c>
      <c r="B103" s="165"/>
      <c r="C103" s="165"/>
      <c r="D103" s="165"/>
      <c r="E103" s="165"/>
      <c r="F103" s="165"/>
      <c r="G103" s="151"/>
    </row>
    <row r="104" spans="1:8" ht="12.75" hidden="1" customHeight="1" outlineLevel="3" x14ac:dyDescent="0.2">
      <c r="A104" s="142" t="str">
        <f>"   "&amp;Labels!B255</f>
        <v xml:space="preserve">   Product 1</v>
      </c>
      <c r="B104" s="166" t="str">
        <f>IF(B34=0," ",C34/B34-1)</f>
        <v xml:space="preserve"> </v>
      </c>
      <c r="C104" s="166" t="str">
        <f>IF(C34=0," ",D34/C34-1)</f>
        <v xml:space="preserve"> </v>
      </c>
      <c r="D104" s="166" t="str">
        <f>IF(D34=0," ",E34/D34-1)</f>
        <v xml:space="preserve"> </v>
      </c>
      <c r="E104" s="166" t="str">
        <f>IF(E34=0," ",F34/E34-1)</f>
        <v xml:space="preserve"> </v>
      </c>
      <c r="F104" s="166" t="str">
        <f>IF(F34=0," ",G34/F34-1)</f>
        <v xml:space="preserve"> </v>
      </c>
      <c r="G104" s="153" t="str">
        <f>" "</f>
        <v xml:space="preserve"> </v>
      </c>
    </row>
    <row r="105" spans="1:8" ht="12.75" hidden="1" customHeight="1" outlineLevel="3" x14ac:dyDescent="0.2">
      <c r="A105" s="142" t="str">
        <f>"   "&amp;Labels!B256</f>
        <v xml:space="preserve">   Product 2</v>
      </c>
      <c r="B105" s="166" t="str">
        <f>IF(B38=0," ",C38/B38-1)</f>
        <v xml:space="preserve"> </v>
      </c>
      <c r="C105" s="166" t="str">
        <f>IF(C38=0," ",D38/C38-1)</f>
        <v xml:space="preserve"> </v>
      </c>
      <c r="D105" s="166" t="str">
        <f>IF(D38=0," ",E38/D38-1)</f>
        <v xml:space="preserve"> </v>
      </c>
      <c r="E105" s="166" t="str">
        <f>IF(E38=0," ",F38/E38-1)</f>
        <v xml:space="preserve"> </v>
      </c>
      <c r="F105" s="166" t="str">
        <f>IF(F38=0," ",G38/F38-1)</f>
        <v xml:space="preserve"> </v>
      </c>
      <c r="G105" s="153" t="str">
        <f>" "</f>
        <v xml:space="preserve"> </v>
      </c>
    </row>
    <row r="106" spans="1:8" ht="12.75" hidden="1" customHeight="1" outlineLevel="3" x14ac:dyDescent="0.2">
      <c r="A106" s="131" t="str">
        <f>"   "&amp;Labels!C254</f>
        <v xml:space="preserve">   Total</v>
      </c>
      <c r="B106" s="168" t="str">
        <f>IF(B8=0," ",C8/B8-1)</f>
        <v xml:space="preserve"> </v>
      </c>
      <c r="C106" s="168" t="str">
        <f>IF(C8=0," ",D8/C8-1)</f>
        <v xml:space="preserve"> </v>
      </c>
      <c r="D106" s="168" t="str">
        <f>IF(D8=0," ",E8/D8-1)</f>
        <v xml:space="preserve"> </v>
      </c>
      <c r="E106" s="168" t="str">
        <f>IF(E8=0," ",F8/E8-1)</f>
        <v xml:space="preserve"> </v>
      </c>
      <c r="F106" s="168" t="str">
        <f>IF(F8=0," ",G8/F8-1)</f>
        <v xml:space="preserve"> </v>
      </c>
      <c r="G106" s="133" t="str">
        <f>" "</f>
        <v xml:space="preserve"> </v>
      </c>
    </row>
    <row r="107" spans="1:8" ht="12.75" hidden="1" customHeight="1" outlineLevel="3" collapsed="1" x14ac:dyDescent="0.2"/>
    <row r="108" spans="1:8" ht="12.75" hidden="1" customHeight="1" outlineLevel="2" collapsed="1" x14ac:dyDescent="0.2"/>
    <row r="109" spans="1:8" ht="12.75" hidden="1" customHeight="1" outlineLevel="1" collapsed="1" x14ac:dyDescent="0.2">
      <c r="A109" s="3" t="str">
        <f>"Sales Units"</f>
        <v>Sales Units</v>
      </c>
    </row>
    <row r="110" spans="1:8" ht="12.75" hidden="1" customHeight="1" outlineLevel="2" x14ac:dyDescent="0.2">
      <c r="A110" s="3" t="str">
        <f>""</f>
        <v/>
      </c>
    </row>
    <row r="111" spans="1:8" ht="12.75" hidden="1" customHeight="1" outlineLevel="2" x14ac:dyDescent="0.2">
      <c r="A111" s="1" t="str">
        <f>"Products"</f>
        <v>Products</v>
      </c>
    </row>
    <row r="112" spans="1:8" ht="12.75" hidden="1" customHeight="1" outlineLevel="3" x14ac:dyDescent="0.2">
      <c r="A112" s="1" t="str">
        <f>""</f>
        <v/>
      </c>
    </row>
    <row r="113" spans="1:8" ht="12.75" hidden="1" customHeight="1" outlineLevel="3" x14ac:dyDescent="0.2">
      <c r="B113" s="10" t="str">
        <f>'(FnCalls 1)'!F41</f>
        <v>MMM 2011</v>
      </c>
      <c r="C113" s="11" t="str">
        <f>'(FnCalls 1)'!F42</f>
        <v>MMM 2011</v>
      </c>
      <c r="D113" s="11" t="str">
        <f>'(FnCalls 1)'!F43</f>
        <v>MMM 2011</v>
      </c>
      <c r="E113" s="11" t="str">
        <f>'(FnCalls 1)'!F44</f>
        <v>MMM 2011</v>
      </c>
      <c r="F113" s="11" t="str">
        <f>'(FnCalls 1)'!F45</f>
        <v>MMM 2011</v>
      </c>
      <c r="G113" s="11" t="str">
        <f>'(FnCalls 1)'!F46</f>
        <v>MMM 2011</v>
      </c>
      <c r="H113" s="94" t="str">
        <f>'(FnCalls 1)'!H41</f>
        <v>2011</v>
      </c>
    </row>
    <row r="114" spans="1:8" ht="12.75" hidden="1" customHeight="1" outlineLevel="3" x14ac:dyDescent="0.2">
      <c r="A114" s="128" t="str">
        <f>Labels!B147</f>
        <v>Sales Units - Products</v>
      </c>
      <c r="B114" s="169"/>
      <c r="C114" s="169"/>
      <c r="D114" s="169"/>
      <c r="E114" s="169"/>
      <c r="F114" s="169"/>
      <c r="G114" s="169"/>
      <c r="H114" s="170"/>
    </row>
    <row r="115" spans="1:8" ht="12.75" hidden="1" customHeight="1" outlineLevel="3" x14ac:dyDescent="0.2">
      <c r="A115" s="142" t="str">
        <f>"   "&amp;Labels!B255</f>
        <v xml:space="preserve">   Product 1</v>
      </c>
      <c r="B115" s="171">
        <f t="shared" ref="B115:G115" si="23">SUM(B65:B66)</f>
        <v>0</v>
      </c>
      <c r="C115" s="171">
        <f t="shared" si="23"/>
        <v>0</v>
      </c>
      <c r="D115" s="171">
        <f t="shared" si="23"/>
        <v>0</v>
      </c>
      <c r="E115" s="171">
        <f t="shared" si="23"/>
        <v>0</v>
      </c>
      <c r="F115" s="171">
        <f t="shared" si="23"/>
        <v>0</v>
      </c>
      <c r="G115" s="171">
        <f t="shared" si="23"/>
        <v>0</v>
      </c>
      <c r="H115" s="172">
        <f>SUM(B115:G115)</f>
        <v>0</v>
      </c>
    </row>
    <row r="116" spans="1:8" ht="12.75" hidden="1" customHeight="1" outlineLevel="3" x14ac:dyDescent="0.2">
      <c r="A116" s="142" t="str">
        <f>"   "&amp;Labels!B256</f>
        <v xml:space="preserve">   Product 2</v>
      </c>
      <c r="B116" s="171">
        <f t="shared" ref="B116:G116" si="24">SUM(B69:B70)</f>
        <v>0</v>
      </c>
      <c r="C116" s="171">
        <f t="shared" si="24"/>
        <v>0</v>
      </c>
      <c r="D116" s="171">
        <f t="shared" si="24"/>
        <v>0</v>
      </c>
      <c r="E116" s="171">
        <f t="shared" si="24"/>
        <v>0</v>
      </c>
      <c r="F116" s="171">
        <f t="shared" si="24"/>
        <v>0</v>
      </c>
      <c r="G116" s="171">
        <f t="shared" si="24"/>
        <v>0</v>
      </c>
      <c r="H116" s="172">
        <f>SUM(B116:G116)</f>
        <v>0</v>
      </c>
    </row>
    <row r="117" spans="1:8" ht="12.75" hidden="1" customHeight="1" outlineLevel="3" x14ac:dyDescent="0.2">
      <c r="A117" s="131" t="str">
        <f>"   "&amp;Labels!C254</f>
        <v xml:space="preserve">   Total</v>
      </c>
      <c r="B117" s="177">
        <f t="shared" ref="B117:G117" si="25">SUM(B115:B116)</f>
        <v>0</v>
      </c>
      <c r="C117" s="177">
        <f t="shared" si="25"/>
        <v>0</v>
      </c>
      <c r="D117" s="177">
        <f t="shared" si="25"/>
        <v>0</v>
      </c>
      <c r="E117" s="177">
        <f t="shared" si="25"/>
        <v>0</v>
      </c>
      <c r="F117" s="177">
        <f t="shared" si="25"/>
        <v>0</v>
      </c>
      <c r="G117" s="177">
        <f t="shared" si="25"/>
        <v>0</v>
      </c>
      <c r="H117" s="176">
        <f>SUM(B117:G117)</f>
        <v>0</v>
      </c>
    </row>
    <row r="118" spans="1:8" ht="12.75" hidden="1" customHeight="1" outlineLevel="3" collapsed="1" x14ac:dyDescent="0.2"/>
    <row r="119" spans="1:8" ht="12.75" hidden="1" customHeight="1" outlineLevel="2" collapsed="1" x14ac:dyDescent="0.2"/>
    <row r="120" spans="1:8" ht="12.75" hidden="1" customHeight="1" outlineLevel="1" collapsed="1" x14ac:dyDescent="0.2"/>
    <row r="121" spans="1:8" ht="12.75" customHeight="1" collapsed="1" x14ac:dyDescent="0.2"/>
    <row r="122" spans="1:8" ht="12.75" customHeight="1" x14ac:dyDescent="0.2">
      <c r="A122" s="322" t="str">
        <f>"Summary by Contract Type"</f>
        <v>Summary by Contract Type</v>
      </c>
      <c r="B122" s="322"/>
    </row>
    <row r="123" spans="1:8" ht="12.75" hidden="1" customHeight="1" outlineLevel="1" x14ac:dyDescent="0.2">
      <c r="A123" s="322" t="str">
        <f>""</f>
        <v/>
      </c>
      <c r="B123" s="322"/>
    </row>
    <row r="124" spans="1:8" ht="12.75" hidden="1" customHeight="1" outlineLevel="1" x14ac:dyDescent="0.2"/>
    <row r="125" spans="1:8" ht="12.75" hidden="1" customHeight="1" outlineLevel="1" x14ac:dyDescent="0.2">
      <c r="A125" s="319" t="str">
        <f>"Contract Growth Rate"</f>
        <v>Contract Growth Rate</v>
      </c>
      <c r="B125" s="319"/>
    </row>
    <row r="126" spans="1:8" ht="12.75" hidden="1" customHeight="1" outlineLevel="2" x14ac:dyDescent="0.2">
      <c r="A126" s="319" t="str">
        <f>" "</f>
        <v xml:space="preserve"> </v>
      </c>
      <c r="B126" s="319"/>
    </row>
    <row r="127" spans="1:8" ht="12.75" hidden="1" customHeight="1" outlineLevel="2" collapsed="1" x14ac:dyDescent="0.2"/>
    <row r="128" spans="1:8" ht="12.75" hidden="1" customHeight="1" outlineLevel="1" collapsed="1" x14ac:dyDescent="0.2"/>
    <row r="129" spans="1:8" ht="12.75" customHeight="1" collapsed="1" x14ac:dyDescent="0.2"/>
    <row r="130" spans="1:8" ht="12.75" customHeight="1" x14ac:dyDescent="0.2">
      <c r="A130" s="322" t="str">
        <f>"Sales Detail by Product and Location"</f>
        <v>Sales Detail by Product and Location</v>
      </c>
      <c r="B130" s="322"/>
      <c r="C130" s="322"/>
      <c r="D130" s="322"/>
    </row>
    <row r="131" spans="1:8" ht="12.75" hidden="1" customHeight="1" outlineLevel="1" x14ac:dyDescent="0.2">
      <c r="A131" s="322" t="str">
        <f>""</f>
        <v/>
      </c>
      <c r="B131" s="322"/>
      <c r="C131" s="322"/>
      <c r="D131" s="322"/>
    </row>
    <row r="132" spans="1:8" ht="12.75" hidden="1" customHeight="1" outlineLevel="1" x14ac:dyDescent="0.2">
      <c r="A132" s="321" t="str">
        <f>"Revenue Detail by Product and Location"</f>
        <v>Revenue Detail by Product and Location</v>
      </c>
      <c r="B132" s="321"/>
      <c r="C132" s="321"/>
    </row>
    <row r="133" spans="1:8" ht="12.75" hidden="1" customHeight="1" outlineLevel="2" x14ac:dyDescent="0.2">
      <c r="A133" s="321" t="str">
        <f>""</f>
        <v/>
      </c>
      <c r="B133" s="321"/>
      <c r="C133" s="321"/>
    </row>
    <row r="134" spans="1:8" ht="12.75" hidden="1" customHeight="1" outlineLevel="2" x14ac:dyDescent="0.2">
      <c r="B134" s="10" t="str">
        <f>'(FnCalls 1)'!F41</f>
        <v>MMM 2011</v>
      </c>
      <c r="C134" s="11" t="str">
        <f>'(FnCalls 1)'!F42</f>
        <v>MMM 2011</v>
      </c>
      <c r="D134" s="11" t="str">
        <f>'(FnCalls 1)'!F43</f>
        <v>MMM 2011</v>
      </c>
      <c r="E134" s="11" t="str">
        <f>'(FnCalls 1)'!F44</f>
        <v>MMM 2011</v>
      </c>
      <c r="F134" s="11" t="str">
        <f>'(FnCalls 1)'!F45</f>
        <v>MMM 2011</v>
      </c>
      <c r="G134" s="11" t="str">
        <f>'(FnCalls 1)'!F46</f>
        <v>MMM 2011</v>
      </c>
      <c r="H134" s="94" t="str">
        <f>'(FnCalls 1)'!H41</f>
        <v>2011</v>
      </c>
    </row>
    <row r="135" spans="1:8" ht="12.75" hidden="1" customHeight="1" outlineLevel="2" x14ac:dyDescent="0.2">
      <c r="A135" s="128" t="str">
        <f>Labels!B137</f>
        <v>Revenue - Products</v>
      </c>
      <c r="B135" s="141"/>
      <c r="C135" s="141"/>
      <c r="D135" s="141"/>
      <c r="E135" s="141"/>
      <c r="F135" s="141"/>
      <c r="G135" s="141"/>
      <c r="H135" s="130"/>
    </row>
    <row r="136" spans="1:8" ht="12.75" hidden="1" customHeight="1" outlineLevel="2" x14ac:dyDescent="0.2">
      <c r="A136" s="142" t="str">
        <f>"   "&amp;Labels!B255</f>
        <v xml:space="preserve">   Product 1</v>
      </c>
      <c r="B136" s="143"/>
      <c r="C136" s="143"/>
      <c r="D136" s="143"/>
      <c r="E136" s="143"/>
      <c r="F136" s="143"/>
      <c r="G136" s="143"/>
      <c r="H136" s="136"/>
    </row>
    <row r="137" spans="1:8" ht="12.75" hidden="1" customHeight="1" outlineLevel="2" x14ac:dyDescent="0.2">
      <c r="A137" s="144" t="str">
        <f>"      "&amp;Labels!B259</f>
        <v xml:space="preserve">      Location 1</v>
      </c>
      <c r="B137" s="135">
        <f t="shared" ref="B137:G138" si="26">B32</f>
        <v>0</v>
      </c>
      <c r="C137" s="135">
        <f t="shared" si="26"/>
        <v>0</v>
      </c>
      <c r="D137" s="135">
        <f t="shared" si="26"/>
        <v>0</v>
      </c>
      <c r="E137" s="135">
        <f t="shared" si="26"/>
        <v>0</v>
      </c>
      <c r="F137" s="135">
        <f t="shared" si="26"/>
        <v>0</v>
      </c>
      <c r="G137" s="135">
        <f t="shared" si="26"/>
        <v>0</v>
      </c>
      <c r="H137" s="136">
        <f>SUM(B137:G137)</f>
        <v>0</v>
      </c>
    </row>
    <row r="138" spans="1:8" ht="12.75" hidden="1" customHeight="1" outlineLevel="2" x14ac:dyDescent="0.2">
      <c r="A138" s="144" t="str">
        <f>"      "&amp;Labels!B260</f>
        <v xml:space="preserve">      Location 2</v>
      </c>
      <c r="B138" s="135">
        <f t="shared" si="26"/>
        <v>0</v>
      </c>
      <c r="C138" s="135">
        <f t="shared" si="26"/>
        <v>0</v>
      </c>
      <c r="D138" s="135">
        <f t="shared" si="26"/>
        <v>0</v>
      </c>
      <c r="E138" s="135">
        <f t="shared" si="26"/>
        <v>0</v>
      </c>
      <c r="F138" s="135">
        <f t="shared" si="26"/>
        <v>0</v>
      </c>
      <c r="G138" s="135">
        <f t="shared" si="26"/>
        <v>0</v>
      </c>
      <c r="H138" s="136">
        <f>SUM(B138:G138)</f>
        <v>0</v>
      </c>
    </row>
    <row r="139" spans="1:8" ht="12.75" hidden="1" customHeight="1" outlineLevel="2" x14ac:dyDescent="0.2">
      <c r="A139" s="142" t="str">
        <f>"      "&amp;Labels!C258</f>
        <v xml:space="preserve">      Total</v>
      </c>
      <c r="B139" s="143">
        <f t="shared" ref="B139:G139" si="27">SUM(B137:B138)</f>
        <v>0</v>
      </c>
      <c r="C139" s="143">
        <f t="shared" si="27"/>
        <v>0</v>
      </c>
      <c r="D139" s="143">
        <f t="shared" si="27"/>
        <v>0</v>
      </c>
      <c r="E139" s="143">
        <f t="shared" si="27"/>
        <v>0</v>
      </c>
      <c r="F139" s="143">
        <f t="shared" si="27"/>
        <v>0</v>
      </c>
      <c r="G139" s="143">
        <f t="shared" si="27"/>
        <v>0</v>
      </c>
      <c r="H139" s="136">
        <f>SUM(B139:G139)</f>
        <v>0</v>
      </c>
    </row>
    <row r="140" spans="1:8" ht="12.75" hidden="1" customHeight="1" outlineLevel="2" x14ac:dyDescent="0.2">
      <c r="A140" s="142" t="str">
        <f>"   "&amp;Labels!B256</f>
        <v xml:space="preserve">   Product 2</v>
      </c>
      <c r="B140" s="143"/>
      <c r="C140" s="143"/>
      <c r="D140" s="143"/>
      <c r="E140" s="143"/>
      <c r="F140" s="143"/>
      <c r="G140" s="143"/>
      <c r="H140" s="136"/>
    </row>
    <row r="141" spans="1:8" ht="12.75" hidden="1" customHeight="1" outlineLevel="2" x14ac:dyDescent="0.2">
      <c r="A141" s="144" t="str">
        <f>"      "&amp;Labels!B259</f>
        <v xml:space="preserve">      Location 1</v>
      </c>
      <c r="B141" s="135">
        <f t="shared" ref="B141:G142" si="28">B36</f>
        <v>0</v>
      </c>
      <c r="C141" s="135">
        <f t="shared" si="28"/>
        <v>0</v>
      </c>
      <c r="D141" s="135">
        <f t="shared" si="28"/>
        <v>0</v>
      </c>
      <c r="E141" s="135">
        <f t="shared" si="28"/>
        <v>0</v>
      </c>
      <c r="F141" s="135">
        <f t="shared" si="28"/>
        <v>0</v>
      </c>
      <c r="G141" s="135">
        <f t="shared" si="28"/>
        <v>0</v>
      </c>
      <c r="H141" s="136">
        <f t="shared" ref="H141:H146" si="29">SUM(B141:G141)</f>
        <v>0</v>
      </c>
    </row>
    <row r="142" spans="1:8" ht="12.75" hidden="1" customHeight="1" outlineLevel="2" x14ac:dyDescent="0.2">
      <c r="A142" s="144" t="str">
        <f>"      "&amp;Labels!B260</f>
        <v xml:space="preserve">      Location 2</v>
      </c>
      <c r="B142" s="135">
        <f t="shared" si="28"/>
        <v>0</v>
      </c>
      <c r="C142" s="135">
        <f t="shared" si="28"/>
        <v>0</v>
      </c>
      <c r="D142" s="135">
        <f t="shared" si="28"/>
        <v>0</v>
      </c>
      <c r="E142" s="135">
        <f t="shared" si="28"/>
        <v>0</v>
      </c>
      <c r="F142" s="135">
        <f t="shared" si="28"/>
        <v>0</v>
      </c>
      <c r="G142" s="135">
        <f t="shared" si="28"/>
        <v>0</v>
      </c>
      <c r="H142" s="136">
        <f t="shared" si="29"/>
        <v>0</v>
      </c>
    </row>
    <row r="143" spans="1:8" ht="12.75" hidden="1" customHeight="1" outlineLevel="2" x14ac:dyDescent="0.2">
      <c r="A143" s="142" t="str">
        <f>"      "&amp;Labels!C258</f>
        <v xml:space="preserve">      Total</v>
      </c>
      <c r="B143" s="143">
        <f t="shared" ref="B143:G143" si="30">SUM(B141:B142)</f>
        <v>0</v>
      </c>
      <c r="C143" s="143">
        <f t="shared" si="30"/>
        <v>0</v>
      </c>
      <c r="D143" s="143">
        <f t="shared" si="30"/>
        <v>0</v>
      </c>
      <c r="E143" s="143">
        <f t="shared" si="30"/>
        <v>0</v>
      </c>
      <c r="F143" s="143">
        <f t="shared" si="30"/>
        <v>0</v>
      </c>
      <c r="G143" s="143">
        <f t="shared" si="30"/>
        <v>0</v>
      </c>
      <c r="H143" s="136">
        <f t="shared" si="29"/>
        <v>0</v>
      </c>
    </row>
    <row r="144" spans="1:8" ht="12.75" hidden="1" customHeight="1" outlineLevel="2" x14ac:dyDescent="0.2">
      <c r="A144" s="134" t="str">
        <f>"   "&amp;Labels!C254</f>
        <v xml:space="preserve">   Total</v>
      </c>
      <c r="B144" s="145">
        <f t="shared" ref="B144:G144" si="31">SUM(B139,B143)</f>
        <v>0</v>
      </c>
      <c r="C144" s="145">
        <f t="shared" si="31"/>
        <v>0</v>
      </c>
      <c r="D144" s="145">
        <f t="shared" si="31"/>
        <v>0</v>
      </c>
      <c r="E144" s="145">
        <f t="shared" si="31"/>
        <v>0</v>
      </c>
      <c r="F144" s="145">
        <f t="shared" si="31"/>
        <v>0</v>
      </c>
      <c r="G144" s="145">
        <f t="shared" si="31"/>
        <v>0</v>
      </c>
      <c r="H144" s="136">
        <f t="shared" si="29"/>
        <v>0</v>
      </c>
    </row>
    <row r="145" spans="1:8" ht="12.75" hidden="1" customHeight="1" outlineLevel="2" x14ac:dyDescent="0.2">
      <c r="A145" s="144" t="str">
        <f>"      "&amp;Labels!B259</f>
        <v xml:space="preserve">      Location 1</v>
      </c>
      <c r="B145" s="135">
        <f t="shared" ref="B145:G147" si="32">SUM(B137,B141)</f>
        <v>0</v>
      </c>
      <c r="C145" s="135">
        <f t="shared" si="32"/>
        <v>0</v>
      </c>
      <c r="D145" s="135">
        <f t="shared" si="32"/>
        <v>0</v>
      </c>
      <c r="E145" s="135">
        <f t="shared" si="32"/>
        <v>0</v>
      </c>
      <c r="F145" s="135">
        <f t="shared" si="32"/>
        <v>0</v>
      </c>
      <c r="G145" s="135">
        <f t="shared" si="32"/>
        <v>0</v>
      </c>
      <c r="H145" s="136">
        <f t="shared" si="29"/>
        <v>0</v>
      </c>
    </row>
    <row r="146" spans="1:8" ht="12.75" hidden="1" customHeight="1" outlineLevel="2" x14ac:dyDescent="0.2">
      <c r="A146" s="144" t="str">
        <f>"      "&amp;Labels!B260</f>
        <v xml:space="preserve">      Location 2</v>
      </c>
      <c r="B146" s="135">
        <f t="shared" si="32"/>
        <v>0</v>
      </c>
      <c r="C146" s="135">
        <f t="shared" si="32"/>
        <v>0</v>
      </c>
      <c r="D146" s="135">
        <f t="shared" si="32"/>
        <v>0</v>
      </c>
      <c r="E146" s="135">
        <f t="shared" si="32"/>
        <v>0</v>
      </c>
      <c r="F146" s="135">
        <f t="shared" si="32"/>
        <v>0</v>
      </c>
      <c r="G146" s="135">
        <f t="shared" si="32"/>
        <v>0</v>
      </c>
      <c r="H146" s="136">
        <f t="shared" si="29"/>
        <v>0</v>
      </c>
    </row>
    <row r="147" spans="1:8" ht="12.75" hidden="1" customHeight="1" outlineLevel="2" x14ac:dyDescent="0.2">
      <c r="A147" s="163" t="str">
        <f>"      "&amp;Labels!C258</f>
        <v xml:space="preserve">      Total</v>
      </c>
      <c r="B147" s="164">
        <f t="shared" si="32"/>
        <v>0</v>
      </c>
      <c r="C147" s="164">
        <f t="shared" si="32"/>
        <v>0</v>
      </c>
      <c r="D147" s="164">
        <f t="shared" si="32"/>
        <v>0</v>
      </c>
      <c r="E147" s="164">
        <f t="shared" si="32"/>
        <v>0</v>
      </c>
      <c r="F147" s="164">
        <f t="shared" si="32"/>
        <v>0</v>
      </c>
      <c r="G147" s="164">
        <f t="shared" si="32"/>
        <v>0</v>
      </c>
      <c r="H147" s="146">
        <f>SUM(B144:G144)</f>
        <v>0</v>
      </c>
    </row>
    <row r="148" spans="1:8" ht="12.75" hidden="1" customHeight="1" outlineLevel="2" x14ac:dyDescent="0.2"/>
    <row r="149" spans="1:8" ht="12.75" hidden="1" customHeight="1" outlineLevel="2" x14ac:dyDescent="0.2">
      <c r="A149" s="1" t="str">
        <f>"Revenue Growth"</f>
        <v>Revenue Growth</v>
      </c>
    </row>
    <row r="150" spans="1:8" ht="12.75" hidden="1" customHeight="1" outlineLevel="3" x14ac:dyDescent="0.2">
      <c r="A150" s="1" t="str">
        <f>""</f>
        <v/>
      </c>
    </row>
    <row r="151" spans="1:8" ht="12.75" hidden="1" customHeight="1" outlineLevel="3" x14ac:dyDescent="0.2">
      <c r="B151" s="10" t="str">
        <f>'(FnCalls 1)'!F42</f>
        <v>MMM 2011</v>
      </c>
      <c r="C151" s="11" t="str">
        <f>'(FnCalls 1)'!F43</f>
        <v>MMM 2011</v>
      </c>
      <c r="D151" s="11" t="str">
        <f>'(FnCalls 1)'!F44</f>
        <v>MMM 2011</v>
      </c>
      <c r="E151" s="11" t="str">
        <f>'(FnCalls 1)'!F45</f>
        <v>MMM 2011</v>
      </c>
      <c r="F151" s="11" t="str">
        <f>'(FnCalls 1)'!F46</f>
        <v>MMM 2011</v>
      </c>
      <c r="G151" s="94" t="str">
        <f>'(FnCalls 1)'!H41</f>
        <v>2011</v>
      </c>
    </row>
    <row r="152" spans="1:8" ht="12.75" hidden="1" customHeight="1" outlineLevel="3" x14ac:dyDescent="0.2">
      <c r="A152" s="128" t="str">
        <f>Labels!B134</f>
        <v>Revenue Growth</v>
      </c>
      <c r="B152" s="165"/>
      <c r="C152" s="165"/>
      <c r="D152" s="165"/>
      <c r="E152" s="165"/>
      <c r="F152" s="165"/>
      <c r="G152" s="151"/>
    </row>
    <row r="153" spans="1:8" ht="12.75" hidden="1" customHeight="1" outlineLevel="3" x14ac:dyDescent="0.2">
      <c r="A153" s="142" t="str">
        <f>"   "&amp;Labels!B259</f>
        <v xml:space="preserve">   Location 1</v>
      </c>
      <c r="B153" s="166" t="str">
        <f t="shared" ref="B153:F154" si="33">B48</f>
        <v xml:space="preserve"> </v>
      </c>
      <c r="C153" s="166" t="str">
        <f t="shared" si="33"/>
        <v xml:space="preserve"> </v>
      </c>
      <c r="D153" s="166" t="str">
        <f t="shared" si="33"/>
        <v xml:space="preserve"> </v>
      </c>
      <c r="E153" s="166" t="str">
        <f t="shared" si="33"/>
        <v xml:space="preserve"> </v>
      </c>
      <c r="F153" s="166" t="str">
        <f t="shared" si="33"/>
        <v xml:space="preserve"> </v>
      </c>
      <c r="G153" s="153" t="str">
        <f>" "</f>
        <v xml:space="preserve"> </v>
      </c>
    </row>
    <row r="154" spans="1:8" ht="12.75" hidden="1" customHeight="1" outlineLevel="3" x14ac:dyDescent="0.2">
      <c r="A154" s="142" t="str">
        <f>"   "&amp;Labels!B260</f>
        <v xml:space="preserve">   Location 2</v>
      </c>
      <c r="B154" s="166" t="str">
        <f t="shared" si="33"/>
        <v xml:space="preserve"> </v>
      </c>
      <c r="C154" s="166" t="str">
        <f t="shared" si="33"/>
        <v xml:space="preserve"> </v>
      </c>
      <c r="D154" s="166" t="str">
        <f t="shared" si="33"/>
        <v xml:space="preserve"> </v>
      </c>
      <c r="E154" s="166" t="str">
        <f t="shared" si="33"/>
        <v xml:space="preserve"> </v>
      </c>
      <c r="F154" s="166" t="str">
        <f t="shared" si="33"/>
        <v xml:space="preserve"> </v>
      </c>
      <c r="G154" s="153" t="str">
        <f>" "</f>
        <v xml:space="preserve"> </v>
      </c>
    </row>
    <row r="155" spans="1:8" ht="12.75" hidden="1" customHeight="1" outlineLevel="3" x14ac:dyDescent="0.2">
      <c r="A155" s="134" t="str">
        <f>"   "&amp;Labels!C258</f>
        <v xml:space="preserve">   Total</v>
      </c>
      <c r="B155" s="167" t="str">
        <f>IF(B25=0," ",C25/B25-1)</f>
        <v xml:space="preserve"> </v>
      </c>
      <c r="C155" s="167" t="str">
        <f>IF(C25=0," ",D25/C25-1)</f>
        <v xml:space="preserve"> </v>
      </c>
      <c r="D155" s="167" t="str">
        <f>IF(D25=0," ",E25/D25-1)</f>
        <v xml:space="preserve"> </v>
      </c>
      <c r="E155" s="167" t="str">
        <f>IF(E25=0," ",F25/E25-1)</f>
        <v xml:space="preserve"> </v>
      </c>
      <c r="F155" s="167" t="str">
        <f>IF(F25=0," ",G25/F25-1)</f>
        <v xml:space="preserve"> </v>
      </c>
      <c r="G155" s="153" t="str">
        <f>" "</f>
        <v xml:space="preserve"> </v>
      </c>
    </row>
    <row r="156" spans="1:8" ht="12.75" hidden="1" customHeight="1" outlineLevel="3" x14ac:dyDescent="0.2">
      <c r="A156" s="91"/>
      <c r="B156" s="6"/>
      <c r="C156" s="6"/>
      <c r="D156" s="6"/>
      <c r="E156" s="6"/>
      <c r="F156" s="6"/>
      <c r="G156" s="91"/>
    </row>
    <row r="157" spans="1:8" ht="12.75" hidden="1" customHeight="1" outlineLevel="3" x14ac:dyDescent="0.2">
      <c r="A157" s="128" t="str">
        <f>Labels!B132</f>
        <v>Revenue CAGR (ex Yr1)</v>
      </c>
      <c r="B157" s="151"/>
    </row>
    <row r="158" spans="1:8" ht="12.75" hidden="1" customHeight="1" outlineLevel="3" x14ac:dyDescent="0.2">
      <c r="A158" s="142" t="str">
        <f>"   "&amp;Labels!B259</f>
        <v xml:space="preserve">   Location 1</v>
      </c>
      <c r="B158" s="153" t="str">
        <f>" "</f>
        <v xml:space="preserve"> </v>
      </c>
    </row>
    <row r="159" spans="1:8" ht="12.75" hidden="1" customHeight="1" outlineLevel="3" x14ac:dyDescent="0.2">
      <c r="A159" s="142" t="str">
        <f>"   "&amp;Labels!B260</f>
        <v xml:space="preserve">   Location 2</v>
      </c>
      <c r="B159" s="153" t="str">
        <f>" "</f>
        <v xml:space="preserve"> </v>
      </c>
    </row>
    <row r="160" spans="1:8" ht="12.75" hidden="1" customHeight="1" outlineLevel="3" x14ac:dyDescent="0.2">
      <c r="A160" s="131" t="str">
        <f>"   "&amp;Labels!C258</f>
        <v xml:space="preserve">   Total</v>
      </c>
      <c r="B160" s="133" t="str">
        <f>" "</f>
        <v xml:space="preserve"> </v>
      </c>
    </row>
    <row r="161" spans="1:8" ht="12.75" hidden="1" customHeight="1" outlineLevel="3" collapsed="1" x14ac:dyDescent="0.2"/>
    <row r="162" spans="1:8" ht="12.75" hidden="1" customHeight="1" outlineLevel="2" collapsed="1" x14ac:dyDescent="0.2"/>
    <row r="163" spans="1:8" ht="12.75" hidden="1" customHeight="1" outlineLevel="1" collapsed="1" x14ac:dyDescent="0.2">
      <c r="A163" s="321" t="str">
        <f>"Sales Unit Detail by Product and Location"</f>
        <v>Sales Unit Detail by Product and Location</v>
      </c>
      <c r="B163" s="321"/>
      <c r="C163" s="321"/>
      <c r="D163" s="321"/>
    </row>
    <row r="164" spans="1:8" ht="12.75" hidden="1" customHeight="1" outlineLevel="2" x14ac:dyDescent="0.2">
      <c r="A164" s="321" t="str">
        <f>""</f>
        <v/>
      </c>
      <c r="B164" s="321"/>
      <c r="C164" s="321"/>
      <c r="D164" s="321"/>
    </row>
    <row r="165" spans="1:8" ht="12.75" hidden="1" customHeight="1" outlineLevel="2" x14ac:dyDescent="0.2">
      <c r="A165" s="3" t="str">
        <f>"Product Units"</f>
        <v>Product Units</v>
      </c>
    </row>
    <row r="166" spans="1:8" ht="12.75" hidden="1" customHeight="1" outlineLevel="2" x14ac:dyDescent="0.2">
      <c r="B166" s="10" t="str">
        <f>'(FnCalls 1)'!F41</f>
        <v>MMM 2011</v>
      </c>
      <c r="C166" s="11" t="str">
        <f>'(FnCalls 1)'!F42</f>
        <v>MMM 2011</v>
      </c>
      <c r="D166" s="11" t="str">
        <f>'(FnCalls 1)'!F43</f>
        <v>MMM 2011</v>
      </c>
      <c r="E166" s="11" t="str">
        <f>'(FnCalls 1)'!F44</f>
        <v>MMM 2011</v>
      </c>
      <c r="F166" s="11" t="str">
        <f>'(FnCalls 1)'!F45</f>
        <v>MMM 2011</v>
      </c>
      <c r="G166" s="11" t="str">
        <f>'(FnCalls 1)'!F46</f>
        <v>MMM 2011</v>
      </c>
      <c r="H166" s="94" t="str">
        <f>'(FnCalls 1)'!H41</f>
        <v>2011</v>
      </c>
    </row>
    <row r="167" spans="1:8" ht="12.75" hidden="1" customHeight="1" outlineLevel="2" x14ac:dyDescent="0.2">
      <c r="A167" s="128" t="str">
        <f>Labels!B147</f>
        <v>Sales Units - Products</v>
      </c>
      <c r="B167" s="169"/>
      <c r="C167" s="169"/>
      <c r="D167" s="169"/>
      <c r="E167" s="169"/>
      <c r="F167" s="169"/>
      <c r="G167" s="169"/>
      <c r="H167" s="170"/>
    </row>
    <row r="168" spans="1:8" ht="12.75" hidden="1" customHeight="1" outlineLevel="2" x14ac:dyDescent="0.2">
      <c r="A168" s="142" t="str">
        <f>"   "&amp;Labels!B255</f>
        <v xml:space="preserve">   Product 1</v>
      </c>
      <c r="B168" s="171"/>
      <c r="C168" s="171"/>
      <c r="D168" s="171"/>
      <c r="E168" s="171"/>
      <c r="F168" s="171"/>
      <c r="G168" s="171"/>
      <c r="H168" s="172"/>
    </row>
    <row r="169" spans="1:8" ht="12.75" hidden="1" customHeight="1" outlineLevel="2" x14ac:dyDescent="0.2">
      <c r="A169" s="144" t="str">
        <f>"      "&amp;Labels!B259</f>
        <v xml:space="preserve">      Location 1</v>
      </c>
      <c r="B169" s="173">
        <f t="shared" ref="B169:G170" si="34">B65</f>
        <v>0</v>
      </c>
      <c r="C169" s="173">
        <f t="shared" si="34"/>
        <v>0</v>
      </c>
      <c r="D169" s="173">
        <f t="shared" si="34"/>
        <v>0</v>
      </c>
      <c r="E169" s="173">
        <f t="shared" si="34"/>
        <v>0</v>
      </c>
      <c r="F169" s="173">
        <f t="shared" si="34"/>
        <v>0</v>
      </c>
      <c r="G169" s="173">
        <f t="shared" si="34"/>
        <v>0</v>
      </c>
      <c r="H169" s="172">
        <f>SUM(B169:G169)</f>
        <v>0</v>
      </c>
    </row>
    <row r="170" spans="1:8" ht="12.75" hidden="1" customHeight="1" outlineLevel="2" x14ac:dyDescent="0.2">
      <c r="A170" s="144" t="str">
        <f>"      "&amp;Labels!B260</f>
        <v xml:space="preserve">      Location 2</v>
      </c>
      <c r="B170" s="173">
        <f t="shared" si="34"/>
        <v>0</v>
      </c>
      <c r="C170" s="173">
        <f t="shared" si="34"/>
        <v>0</v>
      </c>
      <c r="D170" s="173">
        <f t="shared" si="34"/>
        <v>0</v>
      </c>
      <c r="E170" s="173">
        <f t="shared" si="34"/>
        <v>0</v>
      </c>
      <c r="F170" s="173">
        <f t="shared" si="34"/>
        <v>0</v>
      </c>
      <c r="G170" s="173">
        <f t="shared" si="34"/>
        <v>0</v>
      </c>
      <c r="H170" s="172">
        <f>SUM(B170:G170)</f>
        <v>0</v>
      </c>
    </row>
    <row r="171" spans="1:8" ht="12.75" hidden="1" customHeight="1" outlineLevel="2" x14ac:dyDescent="0.2">
      <c r="A171" s="142" t="str">
        <f>"      "&amp;Labels!C258</f>
        <v xml:space="preserve">      Total</v>
      </c>
      <c r="B171" s="171">
        <f t="shared" ref="B171:G171" si="35">SUM(B169:B170)</f>
        <v>0</v>
      </c>
      <c r="C171" s="171">
        <f t="shared" si="35"/>
        <v>0</v>
      </c>
      <c r="D171" s="171">
        <f t="shared" si="35"/>
        <v>0</v>
      </c>
      <c r="E171" s="171">
        <f t="shared" si="35"/>
        <v>0</v>
      </c>
      <c r="F171" s="171">
        <f t="shared" si="35"/>
        <v>0</v>
      </c>
      <c r="G171" s="171">
        <f t="shared" si="35"/>
        <v>0</v>
      </c>
      <c r="H171" s="172">
        <f>SUM(B171:G171)</f>
        <v>0</v>
      </c>
    </row>
    <row r="172" spans="1:8" ht="12.75" hidden="1" customHeight="1" outlineLevel="2" x14ac:dyDescent="0.2">
      <c r="A172" s="142" t="str">
        <f>"   "&amp;Labels!B256</f>
        <v xml:space="preserve">   Product 2</v>
      </c>
      <c r="B172" s="171"/>
      <c r="C172" s="171"/>
      <c r="D172" s="171"/>
      <c r="E172" s="171"/>
      <c r="F172" s="171"/>
      <c r="G172" s="171"/>
      <c r="H172" s="172"/>
    </row>
    <row r="173" spans="1:8" ht="12.75" hidden="1" customHeight="1" outlineLevel="2" x14ac:dyDescent="0.2">
      <c r="A173" s="144" t="str">
        <f>"      "&amp;Labels!B259</f>
        <v xml:space="preserve">      Location 1</v>
      </c>
      <c r="B173" s="173">
        <f t="shared" ref="B173:G174" si="36">B69</f>
        <v>0</v>
      </c>
      <c r="C173" s="173">
        <f t="shared" si="36"/>
        <v>0</v>
      </c>
      <c r="D173" s="173">
        <f t="shared" si="36"/>
        <v>0</v>
      </c>
      <c r="E173" s="173">
        <f t="shared" si="36"/>
        <v>0</v>
      </c>
      <c r="F173" s="173">
        <f t="shared" si="36"/>
        <v>0</v>
      </c>
      <c r="G173" s="173">
        <f t="shared" si="36"/>
        <v>0</v>
      </c>
      <c r="H173" s="172">
        <f t="shared" ref="H173:H178" si="37">SUM(B173:G173)</f>
        <v>0</v>
      </c>
    </row>
    <row r="174" spans="1:8" ht="12.75" hidden="1" customHeight="1" outlineLevel="2" x14ac:dyDescent="0.2">
      <c r="A174" s="144" t="str">
        <f>"      "&amp;Labels!B260</f>
        <v xml:space="preserve">      Location 2</v>
      </c>
      <c r="B174" s="173">
        <f t="shared" si="36"/>
        <v>0</v>
      </c>
      <c r="C174" s="173">
        <f t="shared" si="36"/>
        <v>0</v>
      </c>
      <c r="D174" s="173">
        <f t="shared" si="36"/>
        <v>0</v>
      </c>
      <c r="E174" s="173">
        <f t="shared" si="36"/>
        <v>0</v>
      </c>
      <c r="F174" s="173">
        <f t="shared" si="36"/>
        <v>0</v>
      </c>
      <c r="G174" s="173">
        <f t="shared" si="36"/>
        <v>0</v>
      </c>
      <c r="H174" s="172">
        <f t="shared" si="37"/>
        <v>0</v>
      </c>
    </row>
    <row r="175" spans="1:8" ht="12.75" hidden="1" customHeight="1" outlineLevel="2" x14ac:dyDescent="0.2">
      <c r="A175" s="142" t="str">
        <f>"      "&amp;Labels!C258</f>
        <v xml:space="preserve">      Total</v>
      </c>
      <c r="B175" s="171">
        <f t="shared" ref="B175:G175" si="38">SUM(B173:B174)</f>
        <v>0</v>
      </c>
      <c r="C175" s="171">
        <f t="shared" si="38"/>
        <v>0</v>
      </c>
      <c r="D175" s="171">
        <f t="shared" si="38"/>
        <v>0</v>
      </c>
      <c r="E175" s="171">
        <f t="shared" si="38"/>
        <v>0</v>
      </c>
      <c r="F175" s="171">
        <f t="shared" si="38"/>
        <v>0</v>
      </c>
      <c r="G175" s="171">
        <f t="shared" si="38"/>
        <v>0</v>
      </c>
      <c r="H175" s="172">
        <f t="shared" si="37"/>
        <v>0</v>
      </c>
    </row>
    <row r="176" spans="1:8" ht="12.75" hidden="1" customHeight="1" outlineLevel="2" x14ac:dyDescent="0.2">
      <c r="A176" s="134" t="str">
        <f>"   "&amp;Labels!C254</f>
        <v xml:space="preserve">   Total</v>
      </c>
      <c r="B176" s="174">
        <f t="shared" ref="B176:G176" si="39">SUM(B171,B175)</f>
        <v>0</v>
      </c>
      <c r="C176" s="174">
        <f t="shared" si="39"/>
        <v>0</v>
      </c>
      <c r="D176" s="174">
        <f t="shared" si="39"/>
        <v>0</v>
      </c>
      <c r="E176" s="174">
        <f t="shared" si="39"/>
        <v>0</v>
      </c>
      <c r="F176" s="174">
        <f t="shared" si="39"/>
        <v>0</v>
      </c>
      <c r="G176" s="174">
        <f t="shared" si="39"/>
        <v>0</v>
      </c>
      <c r="H176" s="172">
        <f t="shared" si="37"/>
        <v>0</v>
      </c>
    </row>
    <row r="177" spans="1:8" ht="12.75" hidden="1" customHeight="1" outlineLevel="2" x14ac:dyDescent="0.2">
      <c r="A177" s="144" t="str">
        <f>"      "&amp;Labels!B259</f>
        <v xml:space="preserve">      Location 1</v>
      </c>
      <c r="B177" s="173">
        <f t="shared" ref="B177:G179" si="40">SUM(B169,B173)</f>
        <v>0</v>
      </c>
      <c r="C177" s="173">
        <f t="shared" si="40"/>
        <v>0</v>
      </c>
      <c r="D177" s="173">
        <f t="shared" si="40"/>
        <v>0</v>
      </c>
      <c r="E177" s="173">
        <f t="shared" si="40"/>
        <v>0</v>
      </c>
      <c r="F177" s="173">
        <f t="shared" si="40"/>
        <v>0</v>
      </c>
      <c r="G177" s="173">
        <f t="shared" si="40"/>
        <v>0</v>
      </c>
      <c r="H177" s="172">
        <f t="shared" si="37"/>
        <v>0</v>
      </c>
    </row>
    <row r="178" spans="1:8" ht="12.75" hidden="1" customHeight="1" outlineLevel="2" x14ac:dyDescent="0.2">
      <c r="A178" s="144" t="str">
        <f>"      "&amp;Labels!B260</f>
        <v xml:space="preserve">      Location 2</v>
      </c>
      <c r="B178" s="173">
        <f t="shared" si="40"/>
        <v>0</v>
      </c>
      <c r="C178" s="173">
        <f t="shared" si="40"/>
        <v>0</v>
      </c>
      <c r="D178" s="173">
        <f t="shared" si="40"/>
        <v>0</v>
      </c>
      <c r="E178" s="173">
        <f t="shared" si="40"/>
        <v>0</v>
      </c>
      <c r="F178" s="173">
        <f t="shared" si="40"/>
        <v>0</v>
      </c>
      <c r="G178" s="173">
        <f t="shared" si="40"/>
        <v>0</v>
      </c>
      <c r="H178" s="172">
        <f t="shared" si="37"/>
        <v>0</v>
      </c>
    </row>
    <row r="179" spans="1:8" ht="12.75" hidden="1" customHeight="1" outlineLevel="2" x14ac:dyDescent="0.2">
      <c r="A179" s="163" t="str">
        <f>"      "&amp;Labels!C258</f>
        <v xml:space="preserve">      Total</v>
      </c>
      <c r="B179" s="175">
        <f t="shared" si="40"/>
        <v>0</v>
      </c>
      <c r="C179" s="175">
        <f t="shared" si="40"/>
        <v>0</v>
      </c>
      <c r="D179" s="175">
        <f t="shared" si="40"/>
        <v>0</v>
      </c>
      <c r="E179" s="175">
        <f t="shared" si="40"/>
        <v>0</v>
      </c>
      <c r="F179" s="175">
        <f t="shared" si="40"/>
        <v>0</v>
      </c>
      <c r="G179" s="175">
        <f t="shared" si="40"/>
        <v>0</v>
      </c>
      <c r="H179" s="176">
        <f>SUM(B176:G176)</f>
        <v>0</v>
      </c>
    </row>
    <row r="180" spans="1:8" ht="12.75" hidden="1" customHeight="1" outlineLevel="2" x14ac:dyDescent="0.2"/>
    <row r="181" spans="1:8" ht="12.75" hidden="1" customHeight="1" outlineLevel="2" collapsed="1" x14ac:dyDescent="0.2"/>
    <row r="182" spans="1:8" ht="12.75" hidden="1" customHeight="1" outlineLevel="1" collapsed="1" x14ac:dyDescent="0.2"/>
    <row r="183" spans="1:8" ht="12.75" customHeight="1" collapsed="1" x14ac:dyDescent="0.2"/>
    <row r="184" spans="1:8" ht="12.75" customHeight="1" x14ac:dyDescent="0.2">
      <c r="A184" s="2" t="str">
        <f>"Prices"</f>
        <v>Prices</v>
      </c>
    </row>
    <row r="185" spans="1:8" ht="12.75" hidden="1" customHeight="1" outlineLevel="1" x14ac:dyDescent="0.2">
      <c r="A185" s="1" t="str">
        <f>""</f>
        <v/>
      </c>
    </row>
    <row r="186" spans="1:8" ht="12.75" hidden="1" customHeight="1" outlineLevel="1" x14ac:dyDescent="0.2">
      <c r="B186" s="10" t="str">
        <f>'(FnCalls 1)'!F41</f>
        <v>MMM 2011</v>
      </c>
      <c r="C186" s="11" t="str">
        <f>'(FnCalls 1)'!F42</f>
        <v>MMM 2011</v>
      </c>
      <c r="D186" s="11" t="str">
        <f>'(FnCalls 1)'!F43</f>
        <v>MMM 2011</v>
      </c>
      <c r="E186" s="11" t="str">
        <f>'(FnCalls 1)'!F44</f>
        <v>MMM 2011</v>
      </c>
      <c r="F186" s="11" t="str">
        <f>'(FnCalls 1)'!F45</f>
        <v>MMM 2011</v>
      </c>
      <c r="G186" s="11" t="str">
        <f>'(FnCalls 1)'!F46</f>
        <v>MMM 2011</v>
      </c>
      <c r="H186" s="94" t="str">
        <f>'(FnCalls 1)'!H41</f>
        <v>2011</v>
      </c>
    </row>
    <row r="187" spans="1:8" ht="12.75" hidden="1" customHeight="1" outlineLevel="1" x14ac:dyDescent="0.2">
      <c r="A187" s="128" t="str">
        <f>Labels!B118</f>
        <v>List Price - Products</v>
      </c>
      <c r="B187" s="178"/>
      <c r="C187" s="178"/>
      <c r="D187" s="178"/>
      <c r="E187" s="178"/>
      <c r="F187" s="178"/>
      <c r="G187" s="178"/>
      <c r="H187" s="179"/>
    </row>
    <row r="188" spans="1:8" ht="12.75" hidden="1" customHeight="1" outlineLevel="1" x14ac:dyDescent="0.2">
      <c r="A188" s="142" t="str">
        <f>"   "&amp;Labels!B255</f>
        <v xml:space="preserve">   Product 1</v>
      </c>
      <c r="B188" s="180">
        <f>Inputs!D33</f>
        <v>1</v>
      </c>
      <c r="C188" s="180">
        <f>Inputs!E33</f>
        <v>1</v>
      </c>
      <c r="D188" s="180">
        <f>Inputs!F33</f>
        <v>1</v>
      </c>
      <c r="E188" s="180">
        <f>Inputs!G33</f>
        <v>1</v>
      </c>
      <c r="F188" s="180">
        <f>Inputs!H33</f>
        <v>1</v>
      </c>
      <c r="G188" s="180">
        <f>Inputs!I33</f>
        <v>1</v>
      </c>
      <c r="H188" s="181">
        <f>IF(SUM(B67:G67)=0,0,SUM('(Tables)'!B50:G50)/SUM(B67:G67))</f>
        <v>0</v>
      </c>
    </row>
    <row r="189" spans="1:8" ht="12.75" hidden="1" customHeight="1" outlineLevel="1" x14ac:dyDescent="0.2">
      <c r="A189" s="142" t="str">
        <f>"   "&amp;Labels!B256</f>
        <v xml:space="preserve">   Product 2</v>
      </c>
      <c r="B189" s="180">
        <f>Inputs!D34</f>
        <v>1</v>
      </c>
      <c r="C189" s="180">
        <f>Inputs!E34</f>
        <v>1</v>
      </c>
      <c r="D189" s="180">
        <f>Inputs!F34</f>
        <v>1</v>
      </c>
      <c r="E189" s="180">
        <f>Inputs!G34</f>
        <v>1</v>
      </c>
      <c r="F189" s="180">
        <f>Inputs!H34</f>
        <v>1</v>
      </c>
      <c r="G189" s="180">
        <f>Inputs!I34</f>
        <v>1</v>
      </c>
      <c r="H189" s="181">
        <f>IF(SUM(B71:G71)=0,0,SUM('(Tables)'!B54:G54)/SUM(B71:G71))</f>
        <v>0</v>
      </c>
    </row>
    <row r="190" spans="1:8" ht="12.75" hidden="1" customHeight="1" outlineLevel="1" x14ac:dyDescent="0.2">
      <c r="A190" s="134" t="str">
        <f>"   "&amp;Labels!C254</f>
        <v xml:space="preserve">   Total</v>
      </c>
      <c r="B190" s="182">
        <f>IF(B72=0,0,'(Tables)'!B55/B72)</f>
        <v>0</v>
      </c>
      <c r="C190" s="182">
        <f>IF(C72=0,0,'(Tables)'!C55/C72)</f>
        <v>0</v>
      </c>
      <c r="D190" s="182">
        <f>IF(D72=0,0,'(Tables)'!D55/D72)</f>
        <v>0</v>
      </c>
      <c r="E190" s="182">
        <f>IF(E72=0,0,'(Tables)'!E55/E72)</f>
        <v>0</v>
      </c>
      <c r="F190" s="182">
        <f>IF(F72=0,0,'(Tables)'!F55/F72)</f>
        <v>0</v>
      </c>
      <c r="G190" s="182">
        <f>IF(G72=0,0,'(Tables)'!G55/G72)</f>
        <v>0</v>
      </c>
      <c r="H190" s="181">
        <f>IF(SUM(B72:G72)=0,0,SUM('(Tables)'!B55:G55)/SUM(B72:G72))</f>
        <v>0</v>
      </c>
    </row>
    <row r="191" spans="1:8" ht="12.75" hidden="1" customHeight="1" outlineLevel="1" x14ac:dyDescent="0.2">
      <c r="A191" s="91"/>
      <c r="B191" s="6"/>
      <c r="C191" s="6"/>
      <c r="D191" s="6"/>
      <c r="E191" s="6"/>
      <c r="F191" s="6"/>
      <c r="G191" s="6"/>
      <c r="H191" s="91"/>
    </row>
    <row r="192" spans="1:8" ht="12.75" hidden="1" customHeight="1" outlineLevel="1" x14ac:dyDescent="0.2">
      <c r="A192" s="134" t="str">
        <f>Labels!B116</f>
        <v>Average Prod Price</v>
      </c>
      <c r="B192" s="182"/>
      <c r="C192" s="182"/>
      <c r="D192" s="182"/>
      <c r="E192" s="182"/>
      <c r="F192" s="182"/>
      <c r="G192" s="182"/>
      <c r="H192" s="181"/>
    </row>
    <row r="193" spans="1:8" ht="12.75" hidden="1" customHeight="1" outlineLevel="1" x14ac:dyDescent="0.2">
      <c r="A193" s="142" t="str">
        <f>"   "&amp;Labels!B255</f>
        <v xml:space="preserve">   Product 1</v>
      </c>
      <c r="B193" s="180"/>
      <c r="C193" s="180"/>
      <c r="D193" s="180"/>
      <c r="E193" s="180"/>
      <c r="F193" s="180"/>
      <c r="G193" s="180"/>
      <c r="H193" s="181"/>
    </row>
    <row r="194" spans="1:8" ht="12.75" hidden="1" customHeight="1" outlineLevel="1" x14ac:dyDescent="0.2">
      <c r="A194" s="144" t="str">
        <f>"      "&amp;Labels!B259</f>
        <v xml:space="preserve">      Location 1</v>
      </c>
      <c r="B194" s="183">
        <f t="shared" ref="B194:G194" si="41">B188*1+B188*(-B208)</f>
        <v>0.95</v>
      </c>
      <c r="C194" s="183">
        <f t="shared" si="41"/>
        <v>0.95</v>
      </c>
      <c r="D194" s="183">
        <f t="shared" si="41"/>
        <v>0.95</v>
      </c>
      <c r="E194" s="183">
        <f t="shared" si="41"/>
        <v>0.95</v>
      </c>
      <c r="F194" s="183">
        <f t="shared" si="41"/>
        <v>0.95</v>
      </c>
      <c r="G194" s="183">
        <f t="shared" si="41"/>
        <v>0.95</v>
      </c>
      <c r="H194" s="181">
        <f>IF(SUM(B65:G65)=0,0,SUM(B23:G23)/SUM(B65:G65))</f>
        <v>0</v>
      </c>
    </row>
    <row r="195" spans="1:8" ht="12.75" hidden="1" customHeight="1" outlineLevel="1" x14ac:dyDescent="0.2">
      <c r="A195" s="144" t="str">
        <f>"      "&amp;Labels!B260</f>
        <v xml:space="preserve">      Location 2</v>
      </c>
      <c r="B195" s="183">
        <f t="shared" ref="B195:G195" si="42">B188*1+B188*(-B209)</f>
        <v>0.95</v>
      </c>
      <c r="C195" s="183">
        <f t="shared" si="42"/>
        <v>0.95</v>
      </c>
      <c r="D195" s="183">
        <f t="shared" si="42"/>
        <v>0.95</v>
      </c>
      <c r="E195" s="183">
        <f t="shared" si="42"/>
        <v>0.95</v>
      </c>
      <c r="F195" s="183">
        <f t="shared" si="42"/>
        <v>0.95</v>
      </c>
      <c r="G195" s="183">
        <f t="shared" si="42"/>
        <v>0.95</v>
      </c>
      <c r="H195" s="181">
        <f>IF(SUM(B66:G66)=0,0,SUM(B24:G24)/SUM(B66:G66))</f>
        <v>0</v>
      </c>
    </row>
    <row r="196" spans="1:8" ht="12.75" hidden="1" customHeight="1" outlineLevel="1" x14ac:dyDescent="0.2">
      <c r="A196" s="142" t="str">
        <f>"      "&amp;Labels!C258</f>
        <v xml:space="preserve">      Total</v>
      </c>
      <c r="B196" s="180">
        <f t="shared" ref="B196:G196" si="43">IF(B67=0,0,B25/B67)</f>
        <v>0</v>
      </c>
      <c r="C196" s="180">
        <f t="shared" si="43"/>
        <v>0</v>
      </c>
      <c r="D196" s="180">
        <f t="shared" si="43"/>
        <v>0</v>
      </c>
      <c r="E196" s="180">
        <f t="shared" si="43"/>
        <v>0</v>
      </c>
      <c r="F196" s="180">
        <f t="shared" si="43"/>
        <v>0</v>
      </c>
      <c r="G196" s="180">
        <f t="shared" si="43"/>
        <v>0</v>
      </c>
      <c r="H196" s="181">
        <f>IF(SUM(B67:G67)=0,0,SUM(B25:G25)/SUM(B67:G67))</f>
        <v>0</v>
      </c>
    </row>
    <row r="197" spans="1:8" ht="12.75" hidden="1" customHeight="1" outlineLevel="1" x14ac:dyDescent="0.2">
      <c r="A197" s="142" t="str">
        <f>"   "&amp;Labels!B256</f>
        <v xml:space="preserve">   Product 2</v>
      </c>
      <c r="B197" s="180"/>
      <c r="C197" s="180"/>
      <c r="D197" s="180"/>
      <c r="E197" s="180"/>
      <c r="F197" s="180"/>
      <c r="G197" s="180"/>
      <c r="H197" s="181"/>
    </row>
    <row r="198" spans="1:8" ht="12.75" hidden="1" customHeight="1" outlineLevel="1" x14ac:dyDescent="0.2">
      <c r="A198" s="144" t="str">
        <f>"      "&amp;Labels!B259</f>
        <v xml:space="preserve">      Location 1</v>
      </c>
      <c r="B198" s="183">
        <f t="shared" ref="B198:G198" si="44">B189*1+B189*(-B212)</f>
        <v>0.95</v>
      </c>
      <c r="C198" s="183">
        <f t="shared" si="44"/>
        <v>0.95</v>
      </c>
      <c r="D198" s="183">
        <f t="shared" si="44"/>
        <v>0.95</v>
      </c>
      <c r="E198" s="183">
        <f t="shared" si="44"/>
        <v>0.95</v>
      </c>
      <c r="F198" s="183">
        <f t="shared" si="44"/>
        <v>0.95</v>
      </c>
      <c r="G198" s="183">
        <f t="shared" si="44"/>
        <v>0.95</v>
      </c>
      <c r="H198" s="181">
        <f>IF(SUM(B69:G69)=0,0,SUM(B23:G23)/SUM(B69:G69))</f>
        <v>0</v>
      </c>
    </row>
    <row r="199" spans="1:8" ht="12.75" hidden="1" customHeight="1" outlineLevel="1" x14ac:dyDescent="0.2">
      <c r="A199" s="144" t="str">
        <f>"      "&amp;Labels!B260</f>
        <v xml:space="preserve">      Location 2</v>
      </c>
      <c r="B199" s="183">
        <f t="shared" ref="B199:G199" si="45">B189*1+B189*(-B213)</f>
        <v>0.95</v>
      </c>
      <c r="C199" s="183">
        <f t="shared" si="45"/>
        <v>0.95</v>
      </c>
      <c r="D199" s="183">
        <f t="shared" si="45"/>
        <v>0.95</v>
      </c>
      <c r="E199" s="183">
        <f t="shared" si="45"/>
        <v>0.95</v>
      </c>
      <c r="F199" s="183">
        <f t="shared" si="45"/>
        <v>0.95</v>
      </c>
      <c r="G199" s="183">
        <f t="shared" si="45"/>
        <v>0.95</v>
      </c>
      <c r="H199" s="181">
        <f>IF(SUM(B70:G70)=0,0,SUM(B24:G24)/SUM(B70:G70))</f>
        <v>0</v>
      </c>
    </row>
    <row r="200" spans="1:8" ht="12.75" hidden="1" customHeight="1" outlineLevel="1" x14ac:dyDescent="0.2">
      <c r="A200" s="142" t="str">
        <f>"      "&amp;Labels!C258</f>
        <v xml:space="preserve">      Total</v>
      </c>
      <c r="B200" s="180">
        <f t="shared" ref="B200:G200" si="46">IF(B71=0,0,B25/B71)</f>
        <v>0</v>
      </c>
      <c r="C200" s="180">
        <f t="shared" si="46"/>
        <v>0</v>
      </c>
      <c r="D200" s="180">
        <f t="shared" si="46"/>
        <v>0</v>
      </c>
      <c r="E200" s="180">
        <f t="shared" si="46"/>
        <v>0</v>
      </c>
      <c r="F200" s="180">
        <f t="shared" si="46"/>
        <v>0</v>
      </c>
      <c r="G200" s="180">
        <f t="shared" si="46"/>
        <v>0</v>
      </c>
      <c r="H200" s="181">
        <f>IF(SUM(B71:G71)=0,0,SUM(B25:G25)/SUM(B71:G71))</f>
        <v>0</v>
      </c>
    </row>
    <row r="201" spans="1:8" ht="12.75" hidden="1" customHeight="1" outlineLevel="1" x14ac:dyDescent="0.2">
      <c r="A201" s="134" t="str">
        <f>"   "&amp;Labels!C254</f>
        <v xml:space="preserve">   Total</v>
      </c>
      <c r="B201" s="182">
        <f t="shared" ref="B201:G201" si="47">IF(B72=0,0,B25/B72)</f>
        <v>0</v>
      </c>
      <c r="C201" s="182">
        <f t="shared" si="47"/>
        <v>0</v>
      </c>
      <c r="D201" s="182">
        <f t="shared" si="47"/>
        <v>0</v>
      </c>
      <c r="E201" s="182">
        <f t="shared" si="47"/>
        <v>0</v>
      </c>
      <c r="F201" s="182">
        <f t="shared" si="47"/>
        <v>0</v>
      </c>
      <c r="G201" s="182">
        <f t="shared" si="47"/>
        <v>0</v>
      </c>
      <c r="H201" s="181">
        <f>IF(SUM(B72:G72)=0,0,SUM(B25:G25)/SUM(B72:G72))</f>
        <v>0</v>
      </c>
    </row>
    <row r="202" spans="1:8" ht="12.75" hidden="1" customHeight="1" outlineLevel="1" x14ac:dyDescent="0.2">
      <c r="A202" s="144" t="str">
        <f>"      "&amp;Labels!B259</f>
        <v xml:space="preserve">      Location 1</v>
      </c>
      <c r="B202" s="183">
        <f t="shared" ref="B202:G203" si="48">IF(B73=0,0,B23/B73)</f>
        <v>0</v>
      </c>
      <c r="C202" s="183">
        <f t="shared" si="48"/>
        <v>0</v>
      </c>
      <c r="D202" s="183">
        <f t="shared" si="48"/>
        <v>0</v>
      </c>
      <c r="E202" s="183">
        <f t="shared" si="48"/>
        <v>0</v>
      </c>
      <c r="F202" s="183">
        <f t="shared" si="48"/>
        <v>0</v>
      </c>
      <c r="G202" s="183">
        <f t="shared" si="48"/>
        <v>0</v>
      </c>
      <c r="H202" s="181">
        <f>IF(SUM(B73:G73)=0,0,SUM(B23:G23)/SUM(B73:G73))</f>
        <v>0</v>
      </c>
    </row>
    <row r="203" spans="1:8" ht="12.75" hidden="1" customHeight="1" outlineLevel="1" x14ac:dyDescent="0.2">
      <c r="A203" s="144" t="str">
        <f>"      "&amp;Labels!B260</f>
        <v xml:space="preserve">      Location 2</v>
      </c>
      <c r="B203" s="183">
        <f t="shared" si="48"/>
        <v>0</v>
      </c>
      <c r="C203" s="183">
        <f t="shared" si="48"/>
        <v>0</v>
      </c>
      <c r="D203" s="183">
        <f t="shared" si="48"/>
        <v>0</v>
      </c>
      <c r="E203" s="183">
        <f t="shared" si="48"/>
        <v>0</v>
      </c>
      <c r="F203" s="183">
        <f t="shared" si="48"/>
        <v>0</v>
      </c>
      <c r="G203" s="183">
        <f t="shared" si="48"/>
        <v>0</v>
      </c>
      <c r="H203" s="181">
        <f>IF(SUM(B74:G74)=0,0,SUM(B24:G24)/SUM(B74:G74))</f>
        <v>0</v>
      </c>
    </row>
    <row r="204" spans="1:8" ht="12.75" hidden="1" customHeight="1" outlineLevel="1" x14ac:dyDescent="0.2">
      <c r="A204" s="142" t="str">
        <f>"      "&amp;Labels!C258</f>
        <v xml:space="preserve">      Total</v>
      </c>
      <c r="B204" s="180">
        <f t="shared" ref="B204:G204" si="49">IF(B72=0,0,B25/B72)</f>
        <v>0</v>
      </c>
      <c r="C204" s="180">
        <f t="shared" si="49"/>
        <v>0</v>
      </c>
      <c r="D204" s="180">
        <f t="shared" si="49"/>
        <v>0</v>
      </c>
      <c r="E204" s="180">
        <f t="shared" si="49"/>
        <v>0</v>
      </c>
      <c r="F204" s="180">
        <f t="shared" si="49"/>
        <v>0</v>
      </c>
      <c r="G204" s="180">
        <f t="shared" si="49"/>
        <v>0</v>
      </c>
      <c r="H204" s="181">
        <f>IF(SUM(B72:G72)=0,0,SUM(B25:G25)/SUM(B72:G72))</f>
        <v>0</v>
      </c>
    </row>
    <row r="205" spans="1:8" ht="12.75" hidden="1" customHeight="1" outlineLevel="1" x14ac:dyDescent="0.2">
      <c r="A205" s="91"/>
      <c r="B205" s="6"/>
      <c r="C205" s="6"/>
      <c r="D205" s="6"/>
      <c r="E205" s="6"/>
      <c r="F205" s="6"/>
      <c r="G205" s="6"/>
      <c r="H205" s="91"/>
    </row>
    <row r="206" spans="1:8" ht="12.75" hidden="1" customHeight="1" outlineLevel="1" x14ac:dyDescent="0.2">
      <c r="A206" s="134" t="str">
        <f>Labels!B117</f>
        <v>Discount % - Products</v>
      </c>
      <c r="B206" s="167"/>
      <c r="C206" s="167"/>
      <c r="D206" s="167"/>
      <c r="E206" s="167"/>
      <c r="F206" s="167"/>
      <c r="G206" s="167"/>
      <c r="H206" s="153"/>
    </row>
    <row r="207" spans="1:8" ht="12.75" hidden="1" customHeight="1" outlineLevel="1" x14ac:dyDescent="0.2">
      <c r="A207" s="142" t="str">
        <f>"   "&amp;Labels!B255</f>
        <v xml:space="preserve">   Product 1</v>
      </c>
      <c r="B207" s="166"/>
      <c r="C207" s="166"/>
      <c r="D207" s="166"/>
      <c r="E207" s="166"/>
      <c r="F207" s="166"/>
      <c r="G207" s="166"/>
      <c r="H207" s="153"/>
    </row>
    <row r="208" spans="1:8" ht="12.75" hidden="1" customHeight="1" outlineLevel="1" x14ac:dyDescent="0.2">
      <c r="A208" s="144" t="str">
        <f>"      "&amp;Labels!B259</f>
        <v xml:space="preserve">      Location 1</v>
      </c>
      <c r="B208" s="152">
        <f>Inputs!D36</f>
        <v>0.05</v>
      </c>
      <c r="C208" s="152">
        <f>Inputs!E36</f>
        <v>0.05</v>
      </c>
      <c r="D208" s="152">
        <f>Inputs!F36</f>
        <v>0.05</v>
      </c>
      <c r="E208" s="152">
        <f>Inputs!G36</f>
        <v>0.05</v>
      </c>
      <c r="F208" s="152">
        <f>Inputs!H36</f>
        <v>0.05</v>
      </c>
      <c r="G208" s="152">
        <f>Inputs!I36</f>
        <v>0.05</v>
      </c>
      <c r="H208" s="153">
        <f>IF(SUM('(Tables)'!B48:G48)=0,0,1-SUM(B32:G32)/SUM('(Tables)'!B48:G48))</f>
        <v>0</v>
      </c>
    </row>
    <row r="209" spans="1:8" ht="12.75" hidden="1" customHeight="1" outlineLevel="1" x14ac:dyDescent="0.2">
      <c r="A209" s="144" t="str">
        <f>"      "&amp;Labels!B260</f>
        <v xml:space="preserve">      Location 2</v>
      </c>
      <c r="B209" s="152">
        <f>Inputs!D37</f>
        <v>0.05</v>
      </c>
      <c r="C209" s="152">
        <f>Inputs!E37</f>
        <v>0.05</v>
      </c>
      <c r="D209" s="152">
        <f>Inputs!F37</f>
        <v>0.05</v>
      </c>
      <c r="E209" s="152">
        <f>Inputs!G37</f>
        <v>0.05</v>
      </c>
      <c r="F209" s="152">
        <f>Inputs!H37</f>
        <v>0.05</v>
      </c>
      <c r="G209" s="152">
        <f>Inputs!I37</f>
        <v>0.05</v>
      </c>
      <c r="H209" s="153">
        <f>IF(SUM('(Tables)'!B49:G49)=0,0,1-SUM(B33:G33)/SUM('(Tables)'!B49:G49))</f>
        <v>0</v>
      </c>
    </row>
    <row r="210" spans="1:8" ht="12.75" hidden="1" customHeight="1" outlineLevel="1" x14ac:dyDescent="0.2">
      <c r="A210" s="142" t="str">
        <f>"      "&amp;Labels!C258</f>
        <v xml:space="preserve">      Total</v>
      </c>
      <c r="B210" s="166">
        <f>IF('(Tables)'!B50=0,0,1-B34/'(Tables)'!B50)</f>
        <v>0</v>
      </c>
      <c r="C210" s="166">
        <f>IF('(Tables)'!C50=0,0,1-C34/'(Tables)'!C50)</f>
        <v>0</v>
      </c>
      <c r="D210" s="166">
        <f>IF('(Tables)'!D50=0,0,1-D34/'(Tables)'!D50)</f>
        <v>0</v>
      </c>
      <c r="E210" s="166">
        <f>IF('(Tables)'!E50=0,0,1-E34/'(Tables)'!E50)</f>
        <v>0</v>
      </c>
      <c r="F210" s="166">
        <f>IF('(Tables)'!F50=0,0,1-F34/'(Tables)'!F50)</f>
        <v>0</v>
      </c>
      <c r="G210" s="166">
        <f>IF('(Tables)'!G50=0,0,1-G34/'(Tables)'!G50)</f>
        <v>0</v>
      </c>
      <c r="H210" s="153">
        <f>IF(SUM('(Tables)'!B50:G50)=0,0,1-SUM(B34:G34)/SUM('(Tables)'!B50:G50))</f>
        <v>0</v>
      </c>
    </row>
    <row r="211" spans="1:8" ht="12.75" hidden="1" customHeight="1" outlineLevel="1" x14ac:dyDescent="0.2">
      <c r="A211" s="142" t="str">
        <f>"   "&amp;Labels!B256</f>
        <v xml:space="preserve">   Product 2</v>
      </c>
      <c r="B211" s="166"/>
      <c r="C211" s="166"/>
      <c r="D211" s="166"/>
      <c r="E211" s="166"/>
      <c r="F211" s="166"/>
      <c r="G211" s="166"/>
      <c r="H211" s="153"/>
    </row>
    <row r="212" spans="1:8" ht="12.75" hidden="1" customHeight="1" outlineLevel="1" x14ac:dyDescent="0.2">
      <c r="A212" s="144" t="str">
        <f>"      "&amp;Labels!B259</f>
        <v xml:space="preserve">      Location 1</v>
      </c>
      <c r="B212" s="152">
        <f>Inputs!D38</f>
        <v>0.05</v>
      </c>
      <c r="C212" s="152">
        <f>Inputs!E38</f>
        <v>0.05</v>
      </c>
      <c r="D212" s="152">
        <f>Inputs!F38</f>
        <v>0.05</v>
      </c>
      <c r="E212" s="152">
        <f>Inputs!G38</f>
        <v>0.05</v>
      </c>
      <c r="F212" s="152">
        <f>Inputs!H38</f>
        <v>0.05</v>
      </c>
      <c r="G212" s="152">
        <f>Inputs!I38</f>
        <v>0.05</v>
      </c>
      <c r="H212" s="153">
        <f>IF(SUM('(Tables)'!B52:G52)=0,0,1-SUM(B36:G36)/SUM('(Tables)'!B52:G52))</f>
        <v>0</v>
      </c>
    </row>
    <row r="213" spans="1:8" ht="12.75" hidden="1" customHeight="1" outlineLevel="1" x14ac:dyDescent="0.2">
      <c r="A213" s="144" t="str">
        <f>"      "&amp;Labels!B260</f>
        <v xml:space="preserve">      Location 2</v>
      </c>
      <c r="B213" s="152">
        <f>Inputs!D39</f>
        <v>0.05</v>
      </c>
      <c r="C213" s="152">
        <f>Inputs!E39</f>
        <v>0.05</v>
      </c>
      <c r="D213" s="152">
        <f>Inputs!F39</f>
        <v>0.05</v>
      </c>
      <c r="E213" s="152">
        <f>Inputs!G39</f>
        <v>0.05</v>
      </c>
      <c r="F213" s="152">
        <f>Inputs!H39</f>
        <v>0.05</v>
      </c>
      <c r="G213" s="152">
        <f>Inputs!I39</f>
        <v>0.05</v>
      </c>
      <c r="H213" s="153">
        <f>IF(SUM('(Tables)'!B53:G53)=0,0,1-SUM(B37:G37)/SUM('(Tables)'!B53:G53))</f>
        <v>0</v>
      </c>
    </row>
    <row r="214" spans="1:8" ht="12.75" hidden="1" customHeight="1" outlineLevel="1" x14ac:dyDescent="0.2">
      <c r="A214" s="142" t="str">
        <f>"      "&amp;Labels!C258</f>
        <v xml:space="preserve">      Total</v>
      </c>
      <c r="B214" s="166">
        <f>IF('(Tables)'!B54=0,0,1-B38/'(Tables)'!B54)</f>
        <v>0</v>
      </c>
      <c r="C214" s="166">
        <f>IF('(Tables)'!C54=0,0,1-C38/'(Tables)'!C54)</f>
        <v>0</v>
      </c>
      <c r="D214" s="166">
        <f>IF('(Tables)'!D54=0,0,1-D38/'(Tables)'!D54)</f>
        <v>0</v>
      </c>
      <c r="E214" s="166">
        <f>IF('(Tables)'!E54=0,0,1-E38/'(Tables)'!E54)</f>
        <v>0</v>
      </c>
      <c r="F214" s="166">
        <f>IF('(Tables)'!F54=0,0,1-F38/'(Tables)'!F54)</f>
        <v>0</v>
      </c>
      <c r="G214" s="166">
        <f>IF('(Tables)'!G54=0,0,1-G38/'(Tables)'!G54)</f>
        <v>0</v>
      </c>
      <c r="H214" s="153">
        <f>IF(SUM('(Tables)'!B54:G54)=0,0,1-SUM(B38:G38)/SUM('(Tables)'!B54:G54))</f>
        <v>0</v>
      </c>
    </row>
    <row r="215" spans="1:8" ht="12.75" hidden="1" customHeight="1" outlineLevel="1" x14ac:dyDescent="0.2">
      <c r="A215" s="134" t="str">
        <f>"   "&amp;Labels!C254</f>
        <v xml:space="preserve">   Total</v>
      </c>
      <c r="B215" s="167">
        <f>IF('(Tables)'!B55=0,0,1-B8/'(Tables)'!B55)</f>
        <v>0</v>
      </c>
      <c r="C215" s="167">
        <f>IF('(Tables)'!C55=0,0,1-C8/'(Tables)'!C55)</f>
        <v>0</v>
      </c>
      <c r="D215" s="167">
        <f>IF('(Tables)'!D55=0,0,1-D8/'(Tables)'!D55)</f>
        <v>0</v>
      </c>
      <c r="E215" s="167">
        <f>IF('(Tables)'!E55=0,0,1-E8/'(Tables)'!E55)</f>
        <v>0</v>
      </c>
      <c r="F215" s="167">
        <f>IF('(Tables)'!F55=0,0,1-F8/'(Tables)'!F55)</f>
        <v>0</v>
      </c>
      <c r="G215" s="167">
        <f>IF('(Tables)'!G55=0,0,1-G8/'(Tables)'!G55)</f>
        <v>0</v>
      </c>
      <c r="H215" s="153">
        <f>IF(SUM('(Tables)'!B55:G55)=0,0,1-SUM(B8:G8)/SUM('(Tables)'!B55:G55))</f>
        <v>0</v>
      </c>
    </row>
    <row r="216" spans="1:8" ht="12.75" hidden="1" customHeight="1" outlineLevel="1" x14ac:dyDescent="0.2">
      <c r="A216" s="144" t="str">
        <f>"      "&amp;Labels!B259</f>
        <v xml:space="preserve">      Location 1</v>
      </c>
      <c r="B216" s="152">
        <f>IF('(Tables)'!B56=0,0,1-B40/'(Tables)'!B56)</f>
        <v>0</v>
      </c>
      <c r="C216" s="152">
        <f>IF('(Tables)'!C56=0,0,1-C40/'(Tables)'!C56)</f>
        <v>0</v>
      </c>
      <c r="D216" s="152">
        <f>IF('(Tables)'!D56=0,0,1-D40/'(Tables)'!D56)</f>
        <v>0</v>
      </c>
      <c r="E216" s="152">
        <f>IF('(Tables)'!E56=0,0,1-E40/'(Tables)'!E56)</f>
        <v>0</v>
      </c>
      <c r="F216" s="152">
        <f>IF('(Tables)'!F56=0,0,1-F40/'(Tables)'!F56)</f>
        <v>0</v>
      </c>
      <c r="G216" s="152">
        <f>IF('(Tables)'!G56=0,0,1-G40/'(Tables)'!G56)</f>
        <v>0</v>
      </c>
      <c r="H216" s="153">
        <f>IF(SUM('(Tables)'!B56:G56)=0,0,1-SUM(B40:G40)/SUM('(Tables)'!B56:G56))</f>
        <v>0</v>
      </c>
    </row>
    <row r="217" spans="1:8" ht="12.75" hidden="1" customHeight="1" outlineLevel="1" x14ac:dyDescent="0.2">
      <c r="A217" s="144" t="str">
        <f>"      "&amp;Labels!B260</f>
        <v xml:space="preserve">      Location 2</v>
      </c>
      <c r="B217" s="152">
        <f>IF('(Tables)'!B57=0,0,1-B41/'(Tables)'!B57)</f>
        <v>0</v>
      </c>
      <c r="C217" s="152">
        <f>IF('(Tables)'!C57=0,0,1-C41/'(Tables)'!C57)</f>
        <v>0</v>
      </c>
      <c r="D217" s="152">
        <f>IF('(Tables)'!D57=0,0,1-D41/'(Tables)'!D57)</f>
        <v>0</v>
      </c>
      <c r="E217" s="152">
        <f>IF('(Tables)'!E57=0,0,1-E41/'(Tables)'!E57)</f>
        <v>0</v>
      </c>
      <c r="F217" s="152">
        <f>IF('(Tables)'!F57=0,0,1-F41/'(Tables)'!F57)</f>
        <v>0</v>
      </c>
      <c r="G217" s="152">
        <f>IF('(Tables)'!G57=0,0,1-G41/'(Tables)'!G57)</f>
        <v>0</v>
      </c>
      <c r="H217" s="153">
        <f>IF(SUM('(Tables)'!B57:G57)=0,0,1-SUM(B41:G41)/SUM('(Tables)'!B57:G57))</f>
        <v>0</v>
      </c>
    </row>
    <row r="218" spans="1:8" ht="12.75" hidden="1" customHeight="1" outlineLevel="1" x14ac:dyDescent="0.2">
      <c r="A218" s="163" t="str">
        <f>"      "&amp;Labels!C258</f>
        <v xml:space="preserve">      Total</v>
      </c>
      <c r="B218" s="184">
        <f>IF('(Tables)'!B55=0,0,1-B8/'(Tables)'!B55)</f>
        <v>0</v>
      </c>
      <c r="C218" s="184">
        <f>IF('(Tables)'!C55=0,0,1-C8/'(Tables)'!C55)</f>
        <v>0</v>
      </c>
      <c r="D218" s="184">
        <f>IF('(Tables)'!D55=0,0,1-D8/'(Tables)'!D55)</f>
        <v>0</v>
      </c>
      <c r="E218" s="184">
        <f>IF('(Tables)'!E55=0,0,1-E8/'(Tables)'!E55)</f>
        <v>0</v>
      </c>
      <c r="F218" s="184">
        <f>IF('(Tables)'!F55=0,0,1-F8/'(Tables)'!F55)</f>
        <v>0</v>
      </c>
      <c r="G218" s="184">
        <f>IF('(Tables)'!G55=0,0,1-G8/'(Tables)'!G55)</f>
        <v>0</v>
      </c>
      <c r="H218" s="133">
        <f>IF(SUM('(Tables)'!B55:G55)=0,0,1-SUM(B8:G8)/SUM('(Tables)'!B55:G55))</f>
        <v>0</v>
      </c>
    </row>
    <row r="219" spans="1:8" ht="12.75" hidden="1" customHeight="1" outlineLevel="1" x14ac:dyDescent="0.2"/>
    <row r="220" spans="1:8" ht="12.75" hidden="1" customHeight="1" outlineLevel="1" collapsed="1" x14ac:dyDescent="0.2"/>
    <row r="221" spans="1:8" ht="12.75" customHeight="1" collapsed="1" x14ac:dyDescent="0.2"/>
  </sheetData>
  <mergeCells count="18">
    <mergeCell ref="A164:D164"/>
    <mergeCell ref="A88:B88"/>
    <mergeCell ref="A89:B89"/>
    <mergeCell ref="A122:B122"/>
    <mergeCell ref="A123:B123"/>
    <mergeCell ref="A125:B125"/>
    <mergeCell ref="A126:B126"/>
    <mergeCell ref="A130:D130"/>
    <mergeCell ref="A131:D131"/>
    <mergeCell ref="A132:C132"/>
    <mergeCell ref="A133:C133"/>
    <mergeCell ref="A163:D163"/>
    <mergeCell ref="A18:B18"/>
    <mergeCell ref="A1:D1"/>
    <mergeCell ref="A2:D2"/>
    <mergeCell ref="A3:D3"/>
    <mergeCell ref="A4:D4"/>
    <mergeCell ref="A17:B17"/>
  </mergeCells>
  <pageMargins left="0.25" right="0.25" top="0.5" bottom="0.5" header="0.5" footer="0.5"/>
  <pageSetup paperSize="9" fitToHeight="32767" orientation="landscape"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H131"/>
  <sheetViews>
    <sheetView zoomScaleNormal="100" workbookViewId="0"/>
  </sheetViews>
  <sheetFormatPr defaultRowHeight="12.75" customHeight="1" outlineLevelRow="2" x14ac:dyDescent="0.2"/>
  <cols>
    <col min="1" max="1" width="21.5703125" customWidth="1"/>
    <col min="2" max="2" width="8.5703125" customWidth="1"/>
    <col min="3" max="3" width="8.7109375" customWidth="1"/>
    <col min="4" max="5" width="8.5703125" customWidth="1"/>
    <col min="6" max="6" width="8.85546875" customWidth="1"/>
    <col min="7" max="7" width="8.7109375" customWidth="1"/>
    <col min="8" max="8" width="5.5703125" customWidth="1"/>
  </cols>
  <sheetData>
    <row r="1" spans="1:8" ht="12.75" customHeight="1" x14ac:dyDescent="0.2">
      <c r="A1" s="320" t="str">
        <f>Inputs!D7</f>
        <v>ABC Corp.</v>
      </c>
      <c r="B1" s="320"/>
      <c r="C1" s="320"/>
      <c r="D1" s="320"/>
    </row>
    <row r="2" spans="1:8" ht="12.75" customHeight="1" x14ac:dyDescent="0.2">
      <c r="A2" s="320" t="e">
        <f>TEXT('(FnCalls 1)'!A41,"m/d/yyyy")&amp;" to "&amp;TEXT('(FnCalls 1)'!A47-1,"m/d/yyyy")&amp;", Scenario "&amp;1</f>
        <v>#VALUE!</v>
      </c>
      <c r="B2" s="320"/>
      <c r="C2" s="320"/>
      <c r="D2" s="320"/>
    </row>
    <row r="3" spans="1:8" ht="12.75" customHeight="1" x14ac:dyDescent="0.2">
      <c r="A3" s="320" t="str">
        <f>"Gross Margin and Cost of Goods"</f>
        <v>Gross Margin and Cost of Goods</v>
      </c>
      <c r="B3" s="320"/>
      <c r="C3" s="320"/>
      <c r="D3" s="320"/>
    </row>
    <row r="4" spans="1:8" ht="12.75" customHeight="1" x14ac:dyDescent="0.2">
      <c r="A4" s="320" t="str">
        <f>""</f>
        <v/>
      </c>
      <c r="B4" s="320"/>
      <c r="C4" s="320"/>
      <c r="D4" s="320"/>
    </row>
    <row r="5" spans="1:8" ht="12.75" customHeight="1" x14ac:dyDescent="0.2">
      <c r="B5" s="10" t="str">
        <f>'(FnCalls 1)'!F41</f>
        <v>MMM 2011</v>
      </c>
      <c r="C5" s="11" t="str">
        <f>'(FnCalls 1)'!F42</f>
        <v>MMM 2011</v>
      </c>
      <c r="D5" s="11" t="str">
        <f>'(FnCalls 1)'!F43</f>
        <v>MMM 2011</v>
      </c>
      <c r="E5" s="11" t="str">
        <f>'(FnCalls 1)'!F44</f>
        <v>MMM 2011</v>
      </c>
      <c r="F5" s="11" t="str">
        <f>'(FnCalls 1)'!F45</f>
        <v>MMM 2011</v>
      </c>
      <c r="G5" s="11" t="str">
        <f>'(FnCalls 1)'!F46</f>
        <v>MMM 2011</v>
      </c>
      <c r="H5" s="94" t="str">
        <f>'(FnCalls 1)'!H41</f>
        <v>2011</v>
      </c>
    </row>
    <row r="6" spans="1:8" ht="12.75" customHeight="1" x14ac:dyDescent="0.2">
      <c r="A6" s="128" t="str">
        <f>Labels!B131</f>
        <v>Revenue</v>
      </c>
      <c r="B6" s="141">
        <f t="shared" ref="B6:G7" si="0">SUM(B16,B20)</f>
        <v>0</v>
      </c>
      <c r="C6" s="141">
        <f t="shared" si="0"/>
        <v>0</v>
      </c>
      <c r="D6" s="141">
        <f t="shared" si="0"/>
        <v>0</v>
      </c>
      <c r="E6" s="141">
        <f t="shared" si="0"/>
        <v>0</v>
      </c>
      <c r="F6" s="141">
        <f t="shared" si="0"/>
        <v>0</v>
      </c>
      <c r="G6" s="141">
        <f t="shared" si="0"/>
        <v>0</v>
      </c>
      <c r="H6" s="130">
        <f>SUM(B6:G6)</f>
        <v>0</v>
      </c>
    </row>
    <row r="7" spans="1:8" ht="12.75" customHeight="1" x14ac:dyDescent="0.2">
      <c r="A7" s="134" t="str">
        <f>Labels!B74</f>
        <v>Gross Margin</v>
      </c>
      <c r="B7" s="145">
        <f t="shared" si="0"/>
        <v>0</v>
      </c>
      <c r="C7" s="145">
        <f t="shared" si="0"/>
        <v>0</v>
      </c>
      <c r="D7" s="145">
        <f t="shared" si="0"/>
        <v>0</v>
      </c>
      <c r="E7" s="145">
        <f t="shared" si="0"/>
        <v>0</v>
      </c>
      <c r="F7" s="145">
        <f t="shared" si="0"/>
        <v>0</v>
      </c>
      <c r="G7" s="145">
        <f t="shared" si="0"/>
        <v>0</v>
      </c>
      <c r="H7" s="136">
        <f>SUM(B7:G7)</f>
        <v>0</v>
      </c>
    </row>
    <row r="8" spans="1:8" ht="12.75" customHeight="1" x14ac:dyDescent="0.2">
      <c r="A8" s="131" t="str">
        <f>Labels!B75</f>
        <v>Gross Margin %</v>
      </c>
      <c r="B8" s="168">
        <f t="shared" ref="B8:G8" si="1">IF(B6=0,0,B7/B6)</f>
        <v>0</v>
      </c>
      <c r="C8" s="168">
        <f t="shared" si="1"/>
        <v>0</v>
      </c>
      <c r="D8" s="168">
        <f t="shared" si="1"/>
        <v>0</v>
      </c>
      <c r="E8" s="168">
        <f t="shared" si="1"/>
        <v>0</v>
      </c>
      <c r="F8" s="168">
        <f t="shared" si="1"/>
        <v>0</v>
      </c>
      <c r="G8" s="168">
        <f t="shared" si="1"/>
        <v>0</v>
      </c>
      <c r="H8" s="133">
        <f>IF(SUM(B6:G6)=0,0,SUM(B7:G7)/SUM(B6:G6))</f>
        <v>0</v>
      </c>
    </row>
    <row r="11" spans="1:8" ht="12.75" customHeight="1" x14ac:dyDescent="0.2">
      <c r="A11" s="322" t="str">
        <f>"Summary by Location"</f>
        <v>Summary by Location</v>
      </c>
      <c r="B11" s="322"/>
    </row>
    <row r="12" spans="1:8" ht="12.75" hidden="1" customHeight="1" outlineLevel="1" x14ac:dyDescent="0.2">
      <c r="A12" s="322" t="str">
        <f>""</f>
        <v/>
      </c>
      <c r="B12" s="322"/>
    </row>
    <row r="13" spans="1:8" ht="12.75" hidden="1" customHeight="1" outlineLevel="1" x14ac:dyDescent="0.2">
      <c r="A13" s="3" t="str">
        <f>"Locations"</f>
        <v>Locations</v>
      </c>
    </row>
    <row r="14" spans="1:8" ht="12.75" hidden="1" customHeight="1" outlineLevel="1" x14ac:dyDescent="0.2">
      <c r="B14" s="10" t="str">
        <f>'(FnCalls 1)'!F41</f>
        <v>MMM 2011</v>
      </c>
      <c r="C14" s="11" t="str">
        <f>'(FnCalls 1)'!F42</f>
        <v>MMM 2011</v>
      </c>
      <c r="D14" s="11" t="str">
        <f>'(FnCalls 1)'!F43</f>
        <v>MMM 2011</v>
      </c>
      <c r="E14" s="11" t="str">
        <f>'(FnCalls 1)'!F44</f>
        <v>MMM 2011</v>
      </c>
      <c r="F14" s="11" t="str">
        <f>'(FnCalls 1)'!F45</f>
        <v>MMM 2011</v>
      </c>
      <c r="G14" s="11" t="str">
        <f>'(FnCalls 1)'!F46</f>
        <v>MMM 2011</v>
      </c>
      <c r="H14" s="94" t="str">
        <f>'(FnCalls 1)'!H41</f>
        <v>2011</v>
      </c>
    </row>
    <row r="15" spans="1:8" ht="12.75" hidden="1" customHeight="1" outlineLevel="1" x14ac:dyDescent="0.2">
      <c r="A15" s="128" t="str">
        <f>Labels!B259</f>
        <v>Location 1</v>
      </c>
      <c r="B15" s="63"/>
      <c r="C15" s="63"/>
      <c r="D15" s="63"/>
      <c r="E15" s="63"/>
      <c r="F15" s="63"/>
      <c r="G15" s="63"/>
      <c r="H15" s="128"/>
    </row>
    <row r="16" spans="1:8" ht="12.75" hidden="1" customHeight="1" outlineLevel="1" x14ac:dyDescent="0.2">
      <c r="A16" s="142" t="str">
        <f>"   "&amp;Labels!B131</f>
        <v xml:space="preserve">   Revenue</v>
      </c>
      <c r="B16" s="143">
        <f>Sales!B23</f>
        <v>0</v>
      </c>
      <c r="C16" s="143">
        <f>Sales!C23</f>
        <v>0</v>
      </c>
      <c r="D16" s="143">
        <f>Sales!D23</f>
        <v>0</v>
      </c>
      <c r="E16" s="143">
        <f>Sales!E23</f>
        <v>0</v>
      </c>
      <c r="F16" s="143">
        <f>Sales!F23</f>
        <v>0</v>
      </c>
      <c r="G16" s="143">
        <f>Sales!G23</f>
        <v>0</v>
      </c>
      <c r="H16" s="136">
        <f>SUM(B16:G16)</f>
        <v>0</v>
      </c>
    </row>
    <row r="17" spans="1:8" ht="12.75" hidden="1" customHeight="1" outlineLevel="1" x14ac:dyDescent="0.2">
      <c r="A17" s="142" t="str">
        <f>"   "&amp;Labels!B74</f>
        <v xml:space="preserve">   Gross Margin</v>
      </c>
      <c r="B17" s="143">
        <f>'(Tables)'!B268+0+0</f>
        <v>0</v>
      </c>
      <c r="C17" s="143">
        <f>'(Tables)'!C268+0+0</f>
        <v>0</v>
      </c>
      <c r="D17" s="143">
        <f>'(Tables)'!D268+0+0</f>
        <v>0</v>
      </c>
      <c r="E17" s="143">
        <f>'(Tables)'!E268+0+0</f>
        <v>0</v>
      </c>
      <c r="F17" s="143">
        <f>'(Tables)'!F268+0+0</f>
        <v>0</v>
      </c>
      <c r="G17" s="143">
        <f>'(Tables)'!G268+0+0</f>
        <v>0</v>
      </c>
      <c r="H17" s="136">
        <f>SUM(B17:G17)</f>
        <v>0</v>
      </c>
    </row>
    <row r="18" spans="1:8" ht="12.75" hidden="1" customHeight="1" outlineLevel="1" x14ac:dyDescent="0.2">
      <c r="A18" s="142" t="str">
        <f>"   "&amp;Labels!B75</f>
        <v xml:space="preserve">   Gross Margin %</v>
      </c>
      <c r="B18" s="166">
        <f t="shared" ref="B18:G18" si="2">IF(B16=0,0,B17/B16)</f>
        <v>0</v>
      </c>
      <c r="C18" s="166">
        <f t="shared" si="2"/>
        <v>0</v>
      </c>
      <c r="D18" s="166">
        <f t="shared" si="2"/>
        <v>0</v>
      </c>
      <c r="E18" s="166">
        <f t="shared" si="2"/>
        <v>0</v>
      </c>
      <c r="F18" s="166">
        <f t="shared" si="2"/>
        <v>0</v>
      </c>
      <c r="G18" s="166">
        <f t="shared" si="2"/>
        <v>0</v>
      </c>
      <c r="H18" s="153">
        <f>IF(SUM(B16:G16)=0,0,SUM(B17:G17)/SUM(B16:G16))</f>
        <v>0</v>
      </c>
    </row>
    <row r="19" spans="1:8" ht="12.75" hidden="1" customHeight="1" outlineLevel="1" x14ac:dyDescent="0.2">
      <c r="A19" s="134" t="str">
        <f>Labels!B260</f>
        <v>Location 2</v>
      </c>
      <c r="B19" s="3"/>
      <c r="C19" s="3"/>
      <c r="D19" s="3"/>
      <c r="E19" s="3"/>
      <c r="F19" s="3"/>
      <c r="G19" s="3"/>
      <c r="H19" s="134"/>
    </row>
    <row r="20" spans="1:8" ht="12.75" hidden="1" customHeight="1" outlineLevel="1" x14ac:dyDescent="0.2">
      <c r="A20" s="142" t="str">
        <f>"   "&amp;Labels!B131</f>
        <v xml:space="preserve">   Revenue</v>
      </c>
      <c r="B20" s="143">
        <f>Sales!B24</f>
        <v>0</v>
      </c>
      <c r="C20" s="143">
        <f>Sales!C24</f>
        <v>0</v>
      </c>
      <c r="D20" s="143">
        <f>Sales!D24</f>
        <v>0</v>
      </c>
      <c r="E20" s="143">
        <f>Sales!E24</f>
        <v>0</v>
      </c>
      <c r="F20" s="143">
        <f>Sales!F24</f>
        <v>0</v>
      </c>
      <c r="G20" s="143">
        <f>Sales!G24</f>
        <v>0</v>
      </c>
      <c r="H20" s="136">
        <f>SUM(B20:G20)</f>
        <v>0</v>
      </c>
    </row>
    <row r="21" spans="1:8" ht="12.75" hidden="1" customHeight="1" outlineLevel="1" x14ac:dyDescent="0.2">
      <c r="A21" s="142" t="str">
        <f>"   "&amp;Labels!B74</f>
        <v xml:space="preserve">   Gross Margin</v>
      </c>
      <c r="B21" s="143">
        <f>'(Tables)'!B269+0+0</f>
        <v>0</v>
      </c>
      <c r="C21" s="143">
        <f>'(Tables)'!C269+0+0</f>
        <v>0</v>
      </c>
      <c r="D21" s="143">
        <f>'(Tables)'!D269+0+0</f>
        <v>0</v>
      </c>
      <c r="E21" s="143">
        <f>'(Tables)'!E269+0+0</f>
        <v>0</v>
      </c>
      <c r="F21" s="143">
        <f>'(Tables)'!F269+0+0</f>
        <v>0</v>
      </c>
      <c r="G21" s="143">
        <f>'(Tables)'!G269+0+0</f>
        <v>0</v>
      </c>
      <c r="H21" s="136">
        <f>SUM(B21:G21)</f>
        <v>0</v>
      </c>
    </row>
    <row r="22" spans="1:8" ht="12.75" hidden="1" customHeight="1" outlineLevel="1" x14ac:dyDescent="0.2">
      <c r="A22" s="142" t="str">
        <f>"   "&amp;Labels!B75</f>
        <v xml:space="preserve">   Gross Margin %</v>
      </c>
      <c r="B22" s="166">
        <f t="shared" ref="B22:G22" si="3">IF(B20=0,0,B21/B20)</f>
        <v>0</v>
      </c>
      <c r="C22" s="166">
        <f t="shared" si="3"/>
        <v>0</v>
      </c>
      <c r="D22" s="166">
        <f t="shared" si="3"/>
        <v>0</v>
      </c>
      <c r="E22" s="166">
        <f t="shared" si="3"/>
        <v>0</v>
      </c>
      <c r="F22" s="166">
        <f t="shared" si="3"/>
        <v>0</v>
      </c>
      <c r="G22" s="166">
        <f t="shared" si="3"/>
        <v>0</v>
      </c>
      <c r="H22" s="153">
        <f>IF(SUM(B20:G20)=0,0,SUM(B21:G21)/SUM(B20:G20))</f>
        <v>0</v>
      </c>
    </row>
    <row r="23" spans="1:8" ht="12.75" hidden="1" customHeight="1" outlineLevel="1" x14ac:dyDescent="0.2">
      <c r="A23" s="91" t="str">
        <f>Labels!C258</f>
        <v>Total</v>
      </c>
      <c r="B23" s="6"/>
      <c r="C23" s="6"/>
      <c r="D23" s="6"/>
      <c r="E23" s="6"/>
      <c r="F23" s="6"/>
      <c r="G23" s="6"/>
      <c r="H23" s="91"/>
    </row>
    <row r="24" spans="1:8" ht="12.75" hidden="1" customHeight="1" outlineLevel="1" x14ac:dyDescent="0.2">
      <c r="A24" s="142" t="str">
        <f>"   "&amp;Labels!B131</f>
        <v xml:space="preserve">   Revenue</v>
      </c>
      <c r="B24" s="143">
        <f t="shared" ref="B24:G25" si="4">SUM(B16,B20)</f>
        <v>0</v>
      </c>
      <c r="C24" s="143">
        <f t="shared" si="4"/>
        <v>0</v>
      </c>
      <c r="D24" s="143">
        <f t="shared" si="4"/>
        <v>0</v>
      </c>
      <c r="E24" s="143">
        <f t="shared" si="4"/>
        <v>0</v>
      </c>
      <c r="F24" s="143">
        <f t="shared" si="4"/>
        <v>0</v>
      </c>
      <c r="G24" s="143">
        <f t="shared" si="4"/>
        <v>0</v>
      </c>
      <c r="H24" s="136">
        <f>SUM(B24:G24)</f>
        <v>0</v>
      </c>
    </row>
    <row r="25" spans="1:8" ht="12.75" hidden="1" customHeight="1" outlineLevel="1" x14ac:dyDescent="0.2">
      <c r="A25" s="142" t="str">
        <f>"   "&amp;Labels!B74</f>
        <v xml:space="preserve">   Gross Margin</v>
      </c>
      <c r="B25" s="143">
        <f t="shared" si="4"/>
        <v>0</v>
      </c>
      <c r="C25" s="143">
        <f t="shared" si="4"/>
        <v>0</v>
      </c>
      <c r="D25" s="143">
        <f t="shared" si="4"/>
        <v>0</v>
      </c>
      <c r="E25" s="143">
        <f t="shared" si="4"/>
        <v>0</v>
      </c>
      <c r="F25" s="143">
        <f t="shared" si="4"/>
        <v>0</v>
      </c>
      <c r="G25" s="143">
        <f t="shared" si="4"/>
        <v>0</v>
      </c>
      <c r="H25" s="136">
        <f>SUM(B25:G25)</f>
        <v>0</v>
      </c>
    </row>
    <row r="26" spans="1:8" ht="12.75" hidden="1" customHeight="1" outlineLevel="1" x14ac:dyDescent="0.2">
      <c r="A26" s="163" t="str">
        <f>"   "&amp;Labels!B75</f>
        <v xml:space="preserve">   Gross Margin %</v>
      </c>
      <c r="B26" s="184">
        <f t="shared" ref="B26:G26" si="5">IF(B24=0,0,B25/B24)</f>
        <v>0</v>
      </c>
      <c r="C26" s="184">
        <f t="shared" si="5"/>
        <v>0</v>
      </c>
      <c r="D26" s="184">
        <f t="shared" si="5"/>
        <v>0</v>
      </c>
      <c r="E26" s="184">
        <f t="shared" si="5"/>
        <v>0</v>
      </c>
      <c r="F26" s="184">
        <f t="shared" si="5"/>
        <v>0</v>
      </c>
      <c r="G26" s="184">
        <f t="shared" si="5"/>
        <v>0</v>
      </c>
      <c r="H26" s="133">
        <f>IF(SUM(B24:G24)=0,0,SUM(B25:G25)/SUM(B24:G24))</f>
        <v>0</v>
      </c>
    </row>
    <row r="27" spans="1:8" ht="12.75" hidden="1" customHeight="1" outlineLevel="1" x14ac:dyDescent="0.2"/>
    <row r="28" spans="1:8" ht="12.75" hidden="1" customHeight="1" outlineLevel="1" collapsed="1" x14ac:dyDescent="0.2"/>
    <row r="29" spans="1:8" ht="12.75" customHeight="1" collapsed="1" x14ac:dyDescent="0.2"/>
    <row r="30" spans="1:8" ht="12.75" customHeight="1" x14ac:dyDescent="0.2">
      <c r="A30" s="322" t="str">
        <f>"Gross Margin Detail"</f>
        <v>Gross Margin Detail</v>
      </c>
      <c r="B30" s="322"/>
    </row>
    <row r="31" spans="1:8" ht="12.75" hidden="1" customHeight="1" outlineLevel="1" x14ac:dyDescent="0.2">
      <c r="A31" s="322" t="str">
        <f>""</f>
        <v/>
      </c>
      <c r="B31" s="322"/>
    </row>
    <row r="32" spans="1:8" ht="12.75" hidden="1" customHeight="1" outlineLevel="1" x14ac:dyDescent="0.2">
      <c r="A32" s="3" t="str">
        <f>"Summary by Location"</f>
        <v>Summary by Location</v>
      </c>
    </row>
    <row r="33" spans="1:8" ht="12.75" hidden="1" customHeight="1" outlineLevel="2" x14ac:dyDescent="0.2">
      <c r="A33" s="3" t="str">
        <f>""</f>
        <v/>
      </c>
    </row>
    <row r="34" spans="1:8" ht="12.75" hidden="1" customHeight="1" outlineLevel="2" x14ac:dyDescent="0.2">
      <c r="B34" s="10" t="str">
        <f>'(FnCalls 1)'!F41</f>
        <v>MMM 2011</v>
      </c>
      <c r="C34" s="11" t="str">
        <f>'(FnCalls 1)'!F42</f>
        <v>MMM 2011</v>
      </c>
      <c r="D34" s="11" t="str">
        <f>'(FnCalls 1)'!F43</f>
        <v>MMM 2011</v>
      </c>
      <c r="E34" s="11" t="str">
        <f>'(FnCalls 1)'!F44</f>
        <v>MMM 2011</v>
      </c>
      <c r="F34" s="11" t="str">
        <f>'(FnCalls 1)'!F45</f>
        <v>MMM 2011</v>
      </c>
      <c r="G34" s="11" t="str">
        <f>'(FnCalls 1)'!F46</f>
        <v>MMM 2011</v>
      </c>
      <c r="H34" s="94" t="str">
        <f>'(FnCalls 1)'!H41</f>
        <v>2011</v>
      </c>
    </row>
    <row r="35" spans="1:8" ht="12.75" hidden="1" customHeight="1" outlineLevel="2" x14ac:dyDescent="0.2">
      <c r="A35" s="128" t="str">
        <f>Labels!B259</f>
        <v>Location 1</v>
      </c>
      <c r="B35" s="63"/>
      <c r="C35" s="63"/>
      <c r="D35" s="63"/>
      <c r="E35" s="63"/>
      <c r="F35" s="63"/>
      <c r="G35" s="63"/>
      <c r="H35" s="128"/>
    </row>
    <row r="36" spans="1:8" ht="12.75" hidden="1" customHeight="1" outlineLevel="2" x14ac:dyDescent="0.2">
      <c r="A36" s="142" t="str">
        <f>"   "&amp;Labels!B74</f>
        <v xml:space="preserve">   Gross Margin</v>
      </c>
      <c r="B36" s="143">
        <f t="shared" ref="B36:G37" si="6">B17</f>
        <v>0</v>
      </c>
      <c r="C36" s="143">
        <f t="shared" si="6"/>
        <v>0</v>
      </c>
      <c r="D36" s="143">
        <f t="shared" si="6"/>
        <v>0</v>
      </c>
      <c r="E36" s="143">
        <f t="shared" si="6"/>
        <v>0</v>
      </c>
      <c r="F36" s="143">
        <f t="shared" si="6"/>
        <v>0</v>
      </c>
      <c r="G36" s="143">
        <f t="shared" si="6"/>
        <v>0</v>
      </c>
      <c r="H36" s="136">
        <f>SUM(B36:G36)</f>
        <v>0</v>
      </c>
    </row>
    <row r="37" spans="1:8" ht="12.75" hidden="1" customHeight="1" outlineLevel="2" x14ac:dyDescent="0.2">
      <c r="A37" s="142" t="str">
        <f>"   "&amp;Labels!B75</f>
        <v xml:space="preserve">   Gross Margin %</v>
      </c>
      <c r="B37" s="166">
        <f t="shared" si="6"/>
        <v>0</v>
      </c>
      <c r="C37" s="166">
        <f t="shared" si="6"/>
        <v>0</v>
      </c>
      <c r="D37" s="166">
        <f t="shared" si="6"/>
        <v>0</v>
      </c>
      <c r="E37" s="166">
        <f t="shared" si="6"/>
        <v>0</v>
      </c>
      <c r="F37" s="166">
        <f t="shared" si="6"/>
        <v>0</v>
      </c>
      <c r="G37" s="166">
        <f t="shared" si="6"/>
        <v>0</v>
      </c>
      <c r="H37" s="153">
        <f>IF(SUM(B16:G16)=0,0,SUM(B36:G36)/SUM(B16:G16))</f>
        <v>0</v>
      </c>
    </row>
    <row r="38" spans="1:8" ht="12.75" hidden="1" customHeight="1" outlineLevel="2" x14ac:dyDescent="0.2">
      <c r="A38" s="134" t="str">
        <f>Labels!B260</f>
        <v>Location 2</v>
      </c>
      <c r="B38" s="3"/>
      <c r="C38" s="3"/>
      <c r="D38" s="3"/>
      <c r="E38" s="3"/>
      <c r="F38" s="3"/>
      <c r="G38" s="3"/>
      <c r="H38" s="134"/>
    </row>
    <row r="39" spans="1:8" ht="12.75" hidden="1" customHeight="1" outlineLevel="2" x14ac:dyDescent="0.2">
      <c r="A39" s="142" t="str">
        <f>"   "&amp;Labels!B74</f>
        <v xml:space="preserve">   Gross Margin</v>
      </c>
      <c r="B39" s="143">
        <f t="shared" ref="B39:G40" si="7">B21</f>
        <v>0</v>
      </c>
      <c r="C39" s="143">
        <f t="shared" si="7"/>
        <v>0</v>
      </c>
      <c r="D39" s="143">
        <f t="shared" si="7"/>
        <v>0</v>
      </c>
      <c r="E39" s="143">
        <f t="shared" si="7"/>
        <v>0</v>
      </c>
      <c r="F39" s="143">
        <f t="shared" si="7"/>
        <v>0</v>
      </c>
      <c r="G39" s="143">
        <f t="shared" si="7"/>
        <v>0</v>
      </c>
      <c r="H39" s="136">
        <f>SUM(B39:G39)</f>
        <v>0</v>
      </c>
    </row>
    <row r="40" spans="1:8" ht="12.75" hidden="1" customHeight="1" outlineLevel="2" x14ac:dyDescent="0.2">
      <c r="A40" s="142" t="str">
        <f>"   "&amp;Labels!B75</f>
        <v xml:space="preserve">   Gross Margin %</v>
      </c>
      <c r="B40" s="166">
        <f t="shared" si="7"/>
        <v>0</v>
      </c>
      <c r="C40" s="166">
        <f t="shared" si="7"/>
        <v>0</v>
      </c>
      <c r="D40" s="166">
        <f t="shared" si="7"/>
        <v>0</v>
      </c>
      <c r="E40" s="166">
        <f t="shared" si="7"/>
        <v>0</v>
      </c>
      <c r="F40" s="166">
        <f t="shared" si="7"/>
        <v>0</v>
      </c>
      <c r="G40" s="166">
        <f t="shared" si="7"/>
        <v>0</v>
      </c>
      <c r="H40" s="153">
        <f>IF(SUM(B20:G20)=0,0,SUM(B39:G39)/SUM(B20:G20))</f>
        <v>0</v>
      </c>
    </row>
    <row r="41" spans="1:8" ht="12.75" hidden="1" customHeight="1" outlineLevel="2" x14ac:dyDescent="0.2">
      <c r="A41" s="91" t="str">
        <f>Labels!C258</f>
        <v>Total</v>
      </c>
      <c r="B41" s="6"/>
      <c r="C41" s="6"/>
      <c r="D41" s="6"/>
      <c r="E41" s="6"/>
      <c r="F41" s="6"/>
      <c r="G41" s="6"/>
      <c r="H41" s="91"/>
    </row>
    <row r="42" spans="1:8" ht="12.75" hidden="1" customHeight="1" outlineLevel="2" x14ac:dyDescent="0.2">
      <c r="A42" s="142" t="str">
        <f>"   "&amp;Labels!B74</f>
        <v xml:space="preserve">   Gross Margin</v>
      </c>
      <c r="B42" s="143">
        <f t="shared" ref="B42:G42" si="8">SUM(B36,B39)</f>
        <v>0</v>
      </c>
      <c r="C42" s="143">
        <f t="shared" si="8"/>
        <v>0</v>
      </c>
      <c r="D42" s="143">
        <f t="shared" si="8"/>
        <v>0</v>
      </c>
      <c r="E42" s="143">
        <f t="shared" si="8"/>
        <v>0</v>
      </c>
      <c r="F42" s="143">
        <f t="shared" si="8"/>
        <v>0</v>
      </c>
      <c r="G42" s="143">
        <f t="shared" si="8"/>
        <v>0</v>
      </c>
      <c r="H42" s="136">
        <f>SUM(B42:G42)</f>
        <v>0</v>
      </c>
    </row>
    <row r="43" spans="1:8" ht="12.75" hidden="1" customHeight="1" outlineLevel="2" x14ac:dyDescent="0.2">
      <c r="A43" s="163" t="str">
        <f>"   "&amp;Labels!B75</f>
        <v xml:space="preserve">   Gross Margin %</v>
      </c>
      <c r="B43" s="184">
        <f t="shared" ref="B43:G43" si="9">IF(B6=0,0,B42/B6)</f>
        <v>0</v>
      </c>
      <c r="C43" s="184">
        <f t="shared" si="9"/>
        <v>0</v>
      </c>
      <c r="D43" s="184">
        <f t="shared" si="9"/>
        <v>0</v>
      </c>
      <c r="E43" s="184">
        <f t="shared" si="9"/>
        <v>0</v>
      </c>
      <c r="F43" s="184">
        <f t="shared" si="9"/>
        <v>0</v>
      </c>
      <c r="G43" s="184">
        <f t="shared" si="9"/>
        <v>0</v>
      </c>
      <c r="H43" s="133">
        <f>IF(SUM(B6:G6)=0,0,SUM(B42:G42)/SUM(B6:G6))</f>
        <v>0</v>
      </c>
    </row>
    <row r="44" spans="1:8" ht="12.75" hidden="1" customHeight="1" outlineLevel="2" collapsed="1" x14ac:dyDescent="0.2"/>
    <row r="45" spans="1:8" ht="12.75" hidden="1" customHeight="1" outlineLevel="1" collapsed="1" x14ac:dyDescent="0.2"/>
    <row r="46" spans="1:8" ht="12.75" customHeight="1" collapsed="1" x14ac:dyDescent="0.2"/>
    <row r="47" spans="1:8" ht="12.75" customHeight="1" x14ac:dyDescent="0.2">
      <c r="A47" s="322" t="str">
        <f>"Cost of Goods &amp; Services"</f>
        <v>Cost of Goods &amp; Services</v>
      </c>
      <c r="B47" s="322"/>
      <c r="C47" s="322"/>
    </row>
    <row r="48" spans="1:8" ht="12.75" hidden="1" customHeight="1" outlineLevel="1" x14ac:dyDescent="0.2">
      <c r="A48" s="322" t="str">
        <f>""</f>
        <v/>
      </c>
      <c r="B48" s="322"/>
      <c r="C48" s="322"/>
    </row>
    <row r="49" spans="1:8" ht="12.75" hidden="1" customHeight="1" outlineLevel="1" x14ac:dyDescent="0.2">
      <c r="A49" s="3" t="str">
        <f>"Summary"</f>
        <v>Summary</v>
      </c>
    </row>
    <row r="50" spans="1:8" ht="12.75" hidden="1" customHeight="1" outlineLevel="2" x14ac:dyDescent="0.2">
      <c r="A50" s="3" t="str">
        <f>""</f>
        <v/>
      </c>
    </row>
    <row r="51" spans="1:8" ht="12.75" hidden="1" customHeight="1" outlineLevel="2" x14ac:dyDescent="0.2">
      <c r="B51" s="10" t="str">
        <f>'(FnCalls 1)'!F41</f>
        <v>MMM 2011</v>
      </c>
      <c r="C51" s="11" t="str">
        <f>'(FnCalls 1)'!F42</f>
        <v>MMM 2011</v>
      </c>
      <c r="D51" s="11" t="str">
        <f>'(FnCalls 1)'!F43</f>
        <v>MMM 2011</v>
      </c>
      <c r="E51" s="11" t="str">
        <f>'(FnCalls 1)'!F44</f>
        <v>MMM 2011</v>
      </c>
      <c r="F51" s="11" t="str">
        <f>'(FnCalls 1)'!F45</f>
        <v>MMM 2011</v>
      </c>
      <c r="G51" s="11" t="str">
        <f>'(FnCalls 1)'!F46</f>
        <v>MMM 2011</v>
      </c>
      <c r="H51" s="94" t="str">
        <f>'(FnCalls 1)'!H41</f>
        <v>2011</v>
      </c>
    </row>
    <row r="52" spans="1:8" ht="12.75" hidden="1" customHeight="1" outlineLevel="2" x14ac:dyDescent="0.2">
      <c r="A52" s="128" t="str">
        <f>Labels!B39</f>
        <v>Cost of Goods &amp; Services</v>
      </c>
      <c r="B52" s="141"/>
      <c r="C52" s="141"/>
      <c r="D52" s="141"/>
      <c r="E52" s="141"/>
      <c r="F52" s="141"/>
      <c r="G52" s="141"/>
      <c r="H52" s="130"/>
    </row>
    <row r="53" spans="1:8" ht="12.75" hidden="1" customHeight="1" outlineLevel="2" x14ac:dyDescent="0.2">
      <c r="A53" s="142" t="str">
        <f>"   "&amp;Labels!B255</f>
        <v xml:space="preserve">   Product 1</v>
      </c>
      <c r="B53" s="143"/>
      <c r="C53" s="143"/>
      <c r="D53" s="143"/>
      <c r="E53" s="143"/>
      <c r="F53" s="143"/>
      <c r="G53" s="143"/>
      <c r="H53" s="136"/>
    </row>
    <row r="54" spans="1:8" ht="12.75" hidden="1" customHeight="1" outlineLevel="2" x14ac:dyDescent="0.2">
      <c r="A54" s="144" t="str">
        <f>"      "&amp;Labels!B259</f>
        <v xml:space="preserve">      Location 1</v>
      </c>
      <c r="B54" s="185"/>
      <c r="C54" s="185"/>
      <c r="D54" s="185"/>
      <c r="E54" s="185"/>
      <c r="F54" s="185"/>
      <c r="G54" s="185"/>
      <c r="H54" s="136"/>
    </row>
    <row r="55" spans="1:8" ht="12.75" hidden="1" customHeight="1" outlineLevel="2" x14ac:dyDescent="0.2">
      <c r="A55" s="144" t="str">
        <f>"         "&amp;Labels!B217</f>
        <v xml:space="preserve">         Dir Material</v>
      </c>
      <c r="B55" s="135">
        <f>'(Tables)'!B73+0/3+0/2</f>
        <v>0</v>
      </c>
      <c r="C55" s="135">
        <f>'(Tables)'!C73+0/3+0/2</f>
        <v>0</v>
      </c>
      <c r="D55" s="135">
        <f>'(Tables)'!D73+0/3+0/2</f>
        <v>0</v>
      </c>
      <c r="E55" s="135">
        <f>'(Tables)'!E73+0/3+0/2</f>
        <v>0</v>
      </c>
      <c r="F55" s="135">
        <f>'(Tables)'!F73+0/3+0/2</f>
        <v>0</v>
      </c>
      <c r="G55" s="135">
        <f>'(Tables)'!G73+0/3+0/2</f>
        <v>0</v>
      </c>
      <c r="H55" s="136">
        <f>SUM(B55:G55)</f>
        <v>0</v>
      </c>
    </row>
    <row r="56" spans="1:8" ht="12.75" hidden="1" customHeight="1" outlineLevel="2" x14ac:dyDescent="0.2">
      <c r="A56" s="144" t="str">
        <f>"         "&amp;Labels!B218</f>
        <v xml:space="preserve">         Dir Labor</v>
      </c>
      <c r="B56" s="135">
        <f>'(Tables)'!B74+0/3+0/2</f>
        <v>0</v>
      </c>
      <c r="C56" s="135">
        <f>'(Tables)'!C74+0/3+0/2</f>
        <v>0</v>
      </c>
      <c r="D56" s="135">
        <f>'(Tables)'!D74+0/3+0/2</f>
        <v>0</v>
      </c>
      <c r="E56" s="135">
        <f>'(Tables)'!E74+0/3+0/2</f>
        <v>0</v>
      </c>
      <c r="F56" s="135">
        <f>'(Tables)'!F74+0/3+0/2</f>
        <v>0</v>
      </c>
      <c r="G56" s="135">
        <f>'(Tables)'!G74+0/3+0/2</f>
        <v>0</v>
      </c>
      <c r="H56" s="136">
        <f>SUM(B56:G56)</f>
        <v>0</v>
      </c>
    </row>
    <row r="57" spans="1:8" ht="12.75" hidden="1" customHeight="1" outlineLevel="2" x14ac:dyDescent="0.2">
      <c r="A57" s="144" t="str">
        <f>"         "&amp;Labels!B219</f>
        <v xml:space="preserve">         Dir Overhead</v>
      </c>
      <c r="B57" s="135">
        <f>'(Tables)'!B75+0/3+0/2</f>
        <v>0</v>
      </c>
      <c r="C57" s="135">
        <f>'(Tables)'!C75+0/3+0/2</f>
        <v>0</v>
      </c>
      <c r="D57" s="135">
        <f>'(Tables)'!D75+0/3+0/2</f>
        <v>0</v>
      </c>
      <c r="E57" s="135">
        <f>'(Tables)'!E75+0/3+0/2</f>
        <v>0</v>
      </c>
      <c r="F57" s="135">
        <f>'(Tables)'!F75+0/3+0/2</f>
        <v>0</v>
      </c>
      <c r="G57" s="135">
        <f>'(Tables)'!G75+0/3+0/2</f>
        <v>0</v>
      </c>
      <c r="H57" s="136">
        <f>SUM(B57:G57)</f>
        <v>0</v>
      </c>
    </row>
    <row r="58" spans="1:8" ht="12.75" hidden="1" customHeight="1" outlineLevel="2" x14ac:dyDescent="0.2">
      <c r="A58" s="144" t="str">
        <f>"         "&amp;Labels!C216</f>
        <v xml:space="preserve">         Total</v>
      </c>
      <c r="B58" s="185">
        <f t="shared" ref="B58:G58" si="10">SUM(B55:B57)</f>
        <v>0</v>
      </c>
      <c r="C58" s="185">
        <f t="shared" si="10"/>
        <v>0</v>
      </c>
      <c r="D58" s="185">
        <f t="shared" si="10"/>
        <v>0</v>
      </c>
      <c r="E58" s="185">
        <f t="shared" si="10"/>
        <v>0</v>
      </c>
      <c r="F58" s="185">
        <f t="shared" si="10"/>
        <v>0</v>
      </c>
      <c r="G58" s="185">
        <f t="shared" si="10"/>
        <v>0</v>
      </c>
      <c r="H58" s="136">
        <f>SUM(B58:G58)</f>
        <v>0</v>
      </c>
    </row>
    <row r="59" spans="1:8" ht="12.75" hidden="1" customHeight="1" outlineLevel="2" x14ac:dyDescent="0.2">
      <c r="A59" s="144" t="str">
        <f>"      "&amp;Labels!B260</f>
        <v xml:space="preserve">      Location 2</v>
      </c>
      <c r="B59" s="185"/>
      <c r="C59" s="185"/>
      <c r="D59" s="185"/>
      <c r="E59" s="185"/>
      <c r="F59" s="185"/>
      <c r="G59" s="185"/>
      <c r="H59" s="136"/>
    </row>
    <row r="60" spans="1:8" ht="12.75" hidden="1" customHeight="1" outlineLevel="2" x14ac:dyDescent="0.2">
      <c r="A60" s="144" t="str">
        <f>"         "&amp;Labels!B217</f>
        <v xml:space="preserve">         Dir Material</v>
      </c>
      <c r="B60" s="135">
        <f>'(Tables)'!B78+0/3+0/2</f>
        <v>0</v>
      </c>
      <c r="C60" s="135">
        <f>'(Tables)'!C78+0/3+0/2</f>
        <v>0</v>
      </c>
      <c r="D60" s="135">
        <f>'(Tables)'!D78+0/3+0/2</f>
        <v>0</v>
      </c>
      <c r="E60" s="135">
        <f>'(Tables)'!E78+0/3+0/2</f>
        <v>0</v>
      </c>
      <c r="F60" s="135">
        <f>'(Tables)'!F78+0/3+0/2</f>
        <v>0</v>
      </c>
      <c r="G60" s="135">
        <f>'(Tables)'!G78+0/3+0/2</f>
        <v>0</v>
      </c>
      <c r="H60" s="136">
        <f t="shared" ref="H60:H67" si="11">SUM(B60:G60)</f>
        <v>0</v>
      </c>
    </row>
    <row r="61" spans="1:8" ht="12.75" hidden="1" customHeight="1" outlineLevel="2" x14ac:dyDescent="0.2">
      <c r="A61" s="144" t="str">
        <f>"         "&amp;Labels!B218</f>
        <v xml:space="preserve">         Dir Labor</v>
      </c>
      <c r="B61" s="135">
        <f>'(Tables)'!B79+0/3+0/2</f>
        <v>0</v>
      </c>
      <c r="C61" s="135">
        <f>'(Tables)'!C79+0/3+0/2</f>
        <v>0</v>
      </c>
      <c r="D61" s="135">
        <f>'(Tables)'!D79+0/3+0/2</f>
        <v>0</v>
      </c>
      <c r="E61" s="135">
        <f>'(Tables)'!E79+0/3+0/2</f>
        <v>0</v>
      </c>
      <c r="F61" s="135">
        <f>'(Tables)'!F79+0/3+0/2</f>
        <v>0</v>
      </c>
      <c r="G61" s="135">
        <f>'(Tables)'!G79+0/3+0/2</f>
        <v>0</v>
      </c>
      <c r="H61" s="136">
        <f t="shared" si="11"/>
        <v>0</v>
      </c>
    </row>
    <row r="62" spans="1:8" ht="12.75" hidden="1" customHeight="1" outlineLevel="2" x14ac:dyDescent="0.2">
      <c r="A62" s="144" t="str">
        <f>"         "&amp;Labels!B219</f>
        <v xml:space="preserve">         Dir Overhead</v>
      </c>
      <c r="B62" s="135">
        <f>'(Tables)'!B80+0/3+0/2</f>
        <v>0</v>
      </c>
      <c r="C62" s="135">
        <f>'(Tables)'!C80+0/3+0/2</f>
        <v>0</v>
      </c>
      <c r="D62" s="135">
        <f>'(Tables)'!D80+0/3+0/2</f>
        <v>0</v>
      </c>
      <c r="E62" s="135">
        <f>'(Tables)'!E80+0/3+0/2</f>
        <v>0</v>
      </c>
      <c r="F62" s="135">
        <f>'(Tables)'!F80+0/3+0/2</f>
        <v>0</v>
      </c>
      <c r="G62" s="135">
        <f>'(Tables)'!G80+0/3+0/2</f>
        <v>0</v>
      </c>
      <c r="H62" s="136">
        <f t="shared" si="11"/>
        <v>0</v>
      </c>
    </row>
    <row r="63" spans="1:8" ht="12.75" hidden="1" customHeight="1" outlineLevel="2" x14ac:dyDescent="0.2">
      <c r="A63" s="144" t="str">
        <f>"         "&amp;Labels!C216</f>
        <v xml:space="preserve">         Total</v>
      </c>
      <c r="B63" s="185">
        <f t="shared" ref="B63:G63" si="12">SUM(B60:B62)</f>
        <v>0</v>
      </c>
      <c r="C63" s="185">
        <f t="shared" si="12"/>
        <v>0</v>
      </c>
      <c r="D63" s="185">
        <f t="shared" si="12"/>
        <v>0</v>
      </c>
      <c r="E63" s="185">
        <f t="shared" si="12"/>
        <v>0</v>
      </c>
      <c r="F63" s="185">
        <f t="shared" si="12"/>
        <v>0</v>
      </c>
      <c r="G63" s="185">
        <f t="shared" si="12"/>
        <v>0</v>
      </c>
      <c r="H63" s="136">
        <f t="shared" si="11"/>
        <v>0</v>
      </c>
    </row>
    <row r="64" spans="1:8" ht="12.75" hidden="1" customHeight="1" outlineLevel="2" x14ac:dyDescent="0.2">
      <c r="A64" s="142" t="str">
        <f>"      "&amp;Labels!C258</f>
        <v xml:space="preserve">      Total</v>
      </c>
      <c r="B64" s="143">
        <f t="shared" ref="B64:G64" si="13">SUM(B58,B63)</f>
        <v>0</v>
      </c>
      <c r="C64" s="143">
        <f t="shared" si="13"/>
        <v>0</v>
      </c>
      <c r="D64" s="143">
        <f t="shared" si="13"/>
        <v>0</v>
      </c>
      <c r="E64" s="143">
        <f t="shared" si="13"/>
        <v>0</v>
      </c>
      <c r="F64" s="143">
        <f t="shared" si="13"/>
        <v>0</v>
      </c>
      <c r="G64" s="143">
        <f t="shared" si="13"/>
        <v>0</v>
      </c>
      <c r="H64" s="136">
        <f t="shared" si="11"/>
        <v>0</v>
      </c>
    </row>
    <row r="65" spans="1:8" ht="12.75" hidden="1" customHeight="1" outlineLevel="2" x14ac:dyDescent="0.2">
      <c r="A65" s="144" t="str">
        <f>"         "&amp;Labels!B217</f>
        <v xml:space="preserve">         Dir Material</v>
      </c>
      <c r="B65" s="135">
        <f t="shared" ref="B65:G68" si="14">SUM(B55,B60)</f>
        <v>0</v>
      </c>
      <c r="C65" s="135">
        <f t="shared" si="14"/>
        <v>0</v>
      </c>
      <c r="D65" s="135">
        <f t="shared" si="14"/>
        <v>0</v>
      </c>
      <c r="E65" s="135">
        <f t="shared" si="14"/>
        <v>0</v>
      </c>
      <c r="F65" s="135">
        <f t="shared" si="14"/>
        <v>0</v>
      </c>
      <c r="G65" s="135">
        <f t="shared" si="14"/>
        <v>0</v>
      </c>
      <c r="H65" s="136">
        <f t="shared" si="11"/>
        <v>0</v>
      </c>
    </row>
    <row r="66" spans="1:8" ht="12.75" hidden="1" customHeight="1" outlineLevel="2" x14ac:dyDescent="0.2">
      <c r="A66" s="144" t="str">
        <f>"         "&amp;Labels!B218</f>
        <v xml:space="preserve">         Dir Labor</v>
      </c>
      <c r="B66" s="135">
        <f t="shared" si="14"/>
        <v>0</v>
      </c>
      <c r="C66" s="135">
        <f t="shared" si="14"/>
        <v>0</v>
      </c>
      <c r="D66" s="135">
        <f t="shared" si="14"/>
        <v>0</v>
      </c>
      <c r="E66" s="135">
        <f t="shared" si="14"/>
        <v>0</v>
      </c>
      <c r="F66" s="135">
        <f t="shared" si="14"/>
        <v>0</v>
      </c>
      <c r="G66" s="135">
        <f t="shared" si="14"/>
        <v>0</v>
      </c>
      <c r="H66" s="136">
        <f t="shared" si="11"/>
        <v>0</v>
      </c>
    </row>
    <row r="67" spans="1:8" ht="12.75" hidden="1" customHeight="1" outlineLevel="2" x14ac:dyDescent="0.2">
      <c r="A67" s="144" t="str">
        <f>"         "&amp;Labels!B219</f>
        <v xml:space="preserve">         Dir Overhead</v>
      </c>
      <c r="B67" s="135">
        <f t="shared" si="14"/>
        <v>0</v>
      </c>
      <c r="C67" s="135">
        <f t="shared" si="14"/>
        <v>0</v>
      </c>
      <c r="D67" s="135">
        <f t="shared" si="14"/>
        <v>0</v>
      </c>
      <c r="E67" s="135">
        <f t="shared" si="14"/>
        <v>0</v>
      </c>
      <c r="F67" s="135">
        <f t="shared" si="14"/>
        <v>0</v>
      </c>
      <c r="G67" s="135">
        <f t="shared" si="14"/>
        <v>0</v>
      </c>
      <c r="H67" s="136">
        <f t="shared" si="11"/>
        <v>0</v>
      </c>
    </row>
    <row r="68" spans="1:8" ht="12.75" hidden="1" customHeight="1" outlineLevel="2" x14ac:dyDescent="0.2">
      <c r="A68" s="144" t="str">
        <f>"         "&amp;Labels!C216</f>
        <v xml:space="preserve">         Total</v>
      </c>
      <c r="B68" s="185">
        <f t="shared" si="14"/>
        <v>0</v>
      </c>
      <c r="C68" s="185">
        <f t="shared" si="14"/>
        <v>0</v>
      </c>
      <c r="D68" s="185">
        <f t="shared" si="14"/>
        <v>0</v>
      </c>
      <c r="E68" s="185">
        <f t="shared" si="14"/>
        <v>0</v>
      </c>
      <c r="F68" s="185">
        <f t="shared" si="14"/>
        <v>0</v>
      </c>
      <c r="G68" s="185">
        <f t="shared" si="14"/>
        <v>0</v>
      </c>
      <c r="H68" s="136">
        <f>SUM(B64:G64)</f>
        <v>0</v>
      </c>
    </row>
    <row r="69" spans="1:8" ht="12.75" hidden="1" customHeight="1" outlineLevel="2" x14ac:dyDescent="0.2">
      <c r="A69" s="142" t="str">
        <f>"   "&amp;Labels!B256</f>
        <v xml:space="preserve">   Product 2</v>
      </c>
      <c r="B69" s="143"/>
      <c r="C69" s="143"/>
      <c r="D69" s="143"/>
      <c r="E69" s="143"/>
      <c r="F69" s="143"/>
      <c r="G69" s="143"/>
      <c r="H69" s="136"/>
    </row>
    <row r="70" spans="1:8" ht="12.75" hidden="1" customHeight="1" outlineLevel="2" x14ac:dyDescent="0.2">
      <c r="A70" s="144" t="str">
        <f>"      "&amp;Labels!B259</f>
        <v xml:space="preserve">      Location 1</v>
      </c>
      <c r="B70" s="185"/>
      <c r="C70" s="185"/>
      <c r="D70" s="185"/>
      <c r="E70" s="185"/>
      <c r="F70" s="185"/>
      <c r="G70" s="185"/>
      <c r="H70" s="136"/>
    </row>
    <row r="71" spans="1:8" ht="12.75" hidden="1" customHeight="1" outlineLevel="2" x14ac:dyDescent="0.2">
      <c r="A71" s="144" t="str">
        <f>"         "&amp;Labels!B217</f>
        <v xml:space="preserve">         Dir Material</v>
      </c>
      <c r="B71" s="135">
        <f>'(Tables)'!B89+0/3+0/2</f>
        <v>0</v>
      </c>
      <c r="C71" s="135">
        <f>'(Tables)'!C89+0/3+0/2</f>
        <v>0</v>
      </c>
      <c r="D71" s="135">
        <f>'(Tables)'!D89+0/3+0/2</f>
        <v>0</v>
      </c>
      <c r="E71" s="135">
        <f>'(Tables)'!E89+0/3+0/2</f>
        <v>0</v>
      </c>
      <c r="F71" s="135">
        <f>'(Tables)'!F89+0/3+0/2</f>
        <v>0</v>
      </c>
      <c r="G71" s="135">
        <f>'(Tables)'!G89+0/3+0/2</f>
        <v>0</v>
      </c>
      <c r="H71" s="136">
        <f>SUM(B71:G71)</f>
        <v>0</v>
      </c>
    </row>
    <row r="72" spans="1:8" ht="12.75" hidden="1" customHeight="1" outlineLevel="2" x14ac:dyDescent="0.2">
      <c r="A72" s="144" t="str">
        <f>"         "&amp;Labels!B218</f>
        <v xml:space="preserve">         Dir Labor</v>
      </c>
      <c r="B72" s="135">
        <f>'(Tables)'!B90+0/3+0/2</f>
        <v>0</v>
      </c>
      <c r="C72" s="135">
        <f>'(Tables)'!C90+0/3+0/2</f>
        <v>0</v>
      </c>
      <c r="D72" s="135">
        <f>'(Tables)'!D90+0/3+0/2</f>
        <v>0</v>
      </c>
      <c r="E72" s="135">
        <f>'(Tables)'!E90+0/3+0/2</f>
        <v>0</v>
      </c>
      <c r="F72" s="135">
        <f>'(Tables)'!F90+0/3+0/2</f>
        <v>0</v>
      </c>
      <c r="G72" s="135">
        <f>'(Tables)'!G90+0/3+0/2</f>
        <v>0</v>
      </c>
      <c r="H72" s="136">
        <f>SUM(B72:G72)</f>
        <v>0</v>
      </c>
    </row>
    <row r="73" spans="1:8" ht="12.75" hidden="1" customHeight="1" outlineLevel="2" x14ac:dyDescent="0.2">
      <c r="A73" s="144" t="str">
        <f>"         "&amp;Labels!B219</f>
        <v xml:space="preserve">         Dir Overhead</v>
      </c>
      <c r="B73" s="135">
        <f>'(Tables)'!B91+0/3+0/2</f>
        <v>0</v>
      </c>
      <c r="C73" s="135">
        <f>'(Tables)'!C91+0/3+0/2</f>
        <v>0</v>
      </c>
      <c r="D73" s="135">
        <f>'(Tables)'!D91+0/3+0/2</f>
        <v>0</v>
      </c>
      <c r="E73" s="135">
        <f>'(Tables)'!E91+0/3+0/2</f>
        <v>0</v>
      </c>
      <c r="F73" s="135">
        <f>'(Tables)'!F91+0/3+0/2</f>
        <v>0</v>
      </c>
      <c r="G73" s="135">
        <f>'(Tables)'!G91+0/3+0/2</f>
        <v>0</v>
      </c>
      <c r="H73" s="136">
        <f>SUM(B73:G73)</f>
        <v>0</v>
      </c>
    </row>
    <row r="74" spans="1:8" ht="12.75" hidden="1" customHeight="1" outlineLevel="2" x14ac:dyDescent="0.2">
      <c r="A74" s="144" t="str">
        <f>"         "&amp;Labels!C216</f>
        <v xml:space="preserve">         Total</v>
      </c>
      <c r="B74" s="185">
        <f t="shared" ref="B74:G74" si="15">SUM(B71:B73)</f>
        <v>0</v>
      </c>
      <c r="C74" s="185">
        <f t="shared" si="15"/>
        <v>0</v>
      </c>
      <c r="D74" s="185">
        <f t="shared" si="15"/>
        <v>0</v>
      </c>
      <c r="E74" s="185">
        <f t="shared" si="15"/>
        <v>0</v>
      </c>
      <c r="F74" s="185">
        <f t="shared" si="15"/>
        <v>0</v>
      </c>
      <c r="G74" s="185">
        <f t="shared" si="15"/>
        <v>0</v>
      </c>
      <c r="H74" s="136">
        <f>SUM(B74:G74)</f>
        <v>0</v>
      </c>
    </row>
    <row r="75" spans="1:8" ht="12.75" hidden="1" customHeight="1" outlineLevel="2" x14ac:dyDescent="0.2">
      <c r="A75" s="144" t="str">
        <f>"      "&amp;Labels!B260</f>
        <v xml:space="preserve">      Location 2</v>
      </c>
      <c r="B75" s="185"/>
      <c r="C75" s="185"/>
      <c r="D75" s="185"/>
      <c r="E75" s="185"/>
      <c r="F75" s="185"/>
      <c r="G75" s="185"/>
      <c r="H75" s="136"/>
    </row>
    <row r="76" spans="1:8" ht="12.75" hidden="1" customHeight="1" outlineLevel="2" x14ac:dyDescent="0.2">
      <c r="A76" s="144" t="str">
        <f>"         "&amp;Labels!B217</f>
        <v xml:space="preserve">         Dir Material</v>
      </c>
      <c r="B76" s="135">
        <f>'(Tables)'!B94+0/3+0/2</f>
        <v>0</v>
      </c>
      <c r="C76" s="135">
        <f>'(Tables)'!C94+0/3+0/2</f>
        <v>0</v>
      </c>
      <c r="D76" s="135">
        <f>'(Tables)'!D94+0/3+0/2</f>
        <v>0</v>
      </c>
      <c r="E76" s="135">
        <f>'(Tables)'!E94+0/3+0/2</f>
        <v>0</v>
      </c>
      <c r="F76" s="135">
        <f>'(Tables)'!F94+0/3+0/2</f>
        <v>0</v>
      </c>
      <c r="G76" s="135">
        <f>'(Tables)'!G94+0/3+0/2</f>
        <v>0</v>
      </c>
      <c r="H76" s="136">
        <f t="shared" ref="H76:H83" si="16">SUM(B76:G76)</f>
        <v>0</v>
      </c>
    </row>
    <row r="77" spans="1:8" ht="12.75" hidden="1" customHeight="1" outlineLevel="2" x14ac:dyDescent="0.2">
      <c r="A77" s="144" t="str">
        <f>"         "&amp;Labels!B218</f>
        <v xml:space="preserve">         Dir Labor</v>
      </c>
      <c r="B77" s="135">
        <f>'(Tables)'!B95+0/3+0/2</f>
        <v>0</v>
      </c>
      <c r="C77" s="135">
        <f>'(Tables)'!C95+0/3+0/2</f>
        <v>0</v>
      </c>
      <c r="D77" s="135">
        <f>'(Tables)'!D95+0/3+0/2</f>
        <v>0</v>
      </c>
      <c r="E77" s="135">
        <f>'(Tables)'!E95+0/3+0/2</f>
        <v>0</v>
      </c>
      <c r="F77" s="135">
        <f>'(Tables)'!F95+0/3+0/2</f>
        <v>0</v>
      </c>
      <c r="G77" s="135">
        <f>'(Tables)'!G95+0/3+0/2</f>
        <v>0</v>
      </c>
      <c r="H77" s="136">
        <f t="shared" si="16"/>
        <v>0</v>
      </c>
    </row>
    <row r="78" spans="1:8" ht="12.75" hidden="1" customHeight="1" outlineLevel="2" x14ac:dyDescent="0.2">
      <c r="A78" s="144" t="str">
        <f>"         "&amp;Labels!B219</f>
        <v xml:space="preserve">         Dir Overhead</v>
      </c>
      <c r="B78" s="135">
        <f>'(Tables)'!B96+0/3+0/2</f>
        <v>0</v>
      </c>
      <c r="C78" s="135">
        <f>'(Tables)'!C96+0/3+0/2</f>
        <v>0</v>
      </c>
      <c r="D78" s="135">
        <f>'(Tables)'!D96+0/3+0/2</f>
        <v>0</v>
      </c>
      <c r="E78" s="135">
        <f>'(Tables)'!E96+0/3+0/2</f>
        <v>0</v>
      </c>
      <c r="F78" s="135">
        <f>'(Tables)'!F96+0/3+0/2</f>
        <v>0</v>
      </c>
      <c r="G78" s="135">
        <f>'(Tables)'!G96+0/3+0/2</f>
        <v>0</v>
      </c>
      <c r="H78" s="136">
        <f t="shared" si="16"/>
        <v>0</v>
      </c>
    </row>
    <row r="79" spans="1:8" ht="12.75" hidden="1" customHeight="1" outlineLevel="2" x14ac:dyDescent="0.2">
      <c r="A79" s="144" t="str">
        <f>"         "&amp;Labels!C216</f>
        <v xml:space="preserve">         Total</v>
      </c>
      <c r="B79" s="185">
        <f t="shared" ref="B79:G79" si="17">SUM(B76:B78)</f>
        <v>0</v>
      </c>
      <c r="C79" s="185">
        <f t="shared" si="17"/>
        <v>0</v>
      </c>
      <c r="D79" s="185">
        <f t="shared" si="17"/>
        <v>0</v>
      </c>
      <c r="E79" s="185">
        <f t="shared" si="17"/>
        <v>0</v>
      </c>
      <c r="F79" s="185">
        <f t="shared" si="17"/>
        <v>0</v>
      </c>
      <c r="G79" s="185">
        <f t="shared" si="17"/>
        <v>0</v>
      </c>
      <c r="H79" s="136">
        <f t="shared" si="16"/>
        <v>0</v>
      </c>
    </row>
    <row r="80" spans="1:8" ht="12.75" hidden="1" customHeight="1" outlineLevel="2" x14ac:dyDescent="0.2">
      <c r="A80" s="142" t="str">
        <f>"      "&amp;Labels!C258</f>
        <v xml:space="preserve">      Total</v>
      </c>
      <c r="B80" s="143">
        <f t="shared" ref="B80:G80" si="18">SUM(B74,B79)</f>
        <v>0</v>
      </c>
      <c r="C80" s="143">
        <f t="shared" si="18"/>
        <v>0</v>
      </c>
      <c r="D80" s="143">
        <f t="shared" si="18"/>
        <v>0</v>
      </c>
      <c r="E80" s="143">
        <f t="shared" si="18"/>
        <v>0</v>
      </c>
      <c r="F80" s="143">
        <f t="shared" si="18"/>
        <v>0</v>
      </c>
      <c r="G80" s="143">
        <f t="shared" si="18"/>
        <v>0</v>
      </c>
      <c r="H80" s="136">
        <f t="shared" si="16"/>
        <v>0</v>
      </c>
    </row>
    <row r="81" spans="1:8" ht="12.75" hidden="1" customHeight="1" outlineLevel="2" x14ac:dyDescent="0.2">
      <c r="A81" s="144" t="str">
        <f>"         "&amp;Labels!B217</f>
        <v xml:space="preserve">         Dir Material</v>
      </c>
      <c r="B81" s="135">
        <f t="shared" ref="B81:G84" si="19">SUM(B71,B76)</f>
        <v>0</v>
      </c>
      <c r="C81" s="135">
        <f t="shared" si="19"/>
        <v>0</v>
      </c>
      <c r="D81" s="135">
        <f t="shared" si="19"/>
        <v>0</v>
      </c>
      <c r="E81" s="135">
        <f t="shared" si="19"/>
        <v>0</v>
      </c>
      <c r="F81" s="135">
        <f t="shared" si="19"/>
        <v>0</v>
      </c>
      <c r="G81" s="135">
        <f t="shared" si="19"/>
        <v>0</v>
      </c>
      <c r="H81" s="136">
        <f t="shared" si="16"/>
        <v>0</v>
      </c>
    </row>
    <row r="82" spans="1:8" ht="12.75" hidden="1" customHeight="1" outlineLevel="2" x14ac:dyDescent="0.2">
      <c r="A82" s="144" t="str">
        <f>"         "&amp;Labels!B218</f>
        <v xml:space="preserve">         Dir Labor</v>
      </c>
      <c r="B82" s="135">
        <f t="shared" si="19"/>
        <v>0</v>
      </c>
      <c r="C82" s="135">
        <f t="shared" si="19"/>
        <v>0</v>
      </c>
      <c r="D82" s="135">
        <f t="shared" si="19"/>
        <v>0</v>
      </c>
      <c r="E82" s="135">
        <f t="shared" si="19"/>
        <v>0</v>
      </c>
      <c r="F82" s="135">
        <f t="shared" si="19"/>
        <v>0</v>
      </c>
      <c r="G82" s="135">
        <f t="shared" si="19"/>
        <v>0</v>
      </c>
      <c r="H82" s="136">
        <f t="shared" si="16"/>
        <v>0</v>
      </c>
    </row>
    <row r="83" spans="1:8" ht="12.75" hidden="1" customHeight="1" outlineLevel="2" x14ac:dyDescent="0.2">
      <c r="A83" s="144" t="str">
        <f>"         "&amp;Labels!B219</f>
        <v xml:space="preserve">         Dir Overhead</v>
      </c>
      <c r="B83" s="135">
        <f t="shared" si="19"/>
        <v>0</v>
      </c>
      <c r="C83" s="135">
        <f t="shared" si="19"/>
        <v>0</v>
      </c>
      <c r="D83" s="135">
        <f t="shared" si="19"/>
        <v>0</v>
      </c>
      <c r="E83" s="135">
        <f t="shared" si="19"/>
        <v>0</v>
      </c>
      <c r="F83" s="135">
        <f t="shared" si="19"/>
        <v>0</v>
      </c>
      <c r="G83" s="135">
        <f t="shared" si="19"/>
        <v>0</v>
      </c>
      <c r="H83" s="136">
        <f t="shared" si="16"/>
        <v>0</v>
      </c>
    </row>
    <row r="84" spans="1:8" ht="12.75" hidden="1" customHeight="1" outlineLevel="2" x14ac:dyDescent="0.2">
      <c r="A84" s="144" t="str">
        <f>"         "&amp;Labels!C216</f>
        <v xml:space="preserve">         Total</v>
      </c>
      <c r="B84" s="185">
        <f t="shared" si="19"/>
        <v>0</v>
      </c>
      <c r="C84" s="185">
        <f t="shared" si="19"/>
        <v>0</v>
      </c>
      <c r="D84" s="185">
        <f t="shared" si="19"/>
        <v>0</v>
      </c>
      <c r="E84" s="185">
        <f t="shared" si="19"/>
        <v>0</v>
      </c>
      <c r="F84" s="185">
        <f t="shared" si="19"/>
        <v>0</v>
      </c>
      <c r="G84" s="185">
        <f t="shared" si="19"/>
        <v>0</v>
      </c>
      <c r="H84" s="136">
        <f>SUM(B80:G80)</f>
        <v>0</v>
      </c>
    </row>
    <row r="85" spans="1:8" ht="12.75" hidden="1" customHeight="1" outlineLevel="2" x14ac:dyDescent="0.2">
      <c r="A85" s="134" t="str">
        <f>"   "&amp;Labels!C254</f>
        <v xml:space="preserve">   Total</v>
      </c>
      <c r="B85" s="145">
        <f t="shared" ref="B85:G85" si="20">SUM(B64,B80)</f>
        <v>0</v>
      </c>
      <c r="C85" s="145">
        <f t="shared" si="20"/>
        <v>0</v>
      </c>
      <c r="D85" s="145">
        <f t="shared" si="20"/>
        <v>0</v>
      </c>
      <c r="E85" s="145">
        <f t="shared" si="20"/>
        <v>0</v>
      </c>
      <c r="F85" s="145">
        <f t="shared" si="20"/>
        <v>0</v>
      </c>
      <c r="G85" s="145">
        <f t="shared" si="20"/>
        <v>0</v>
      </c>
      <c r="H85" s="136">
        <f>SUM(B85:G85)</f>
        <v>0</v>
      </c>
    </row>
    <row r="86" spans="1:8" ht="12.75" hidden="1" customHeight="1" outlineLevel="2" x14ac:dyDescent="0.2">
      <c r="A86" s="144" t="str">
        <f>"      "&amp;Labels!B259</f>
        <v xml:space="preserve">      Location 1</v>
      </c>
      <c r="B86" s="185"/>
      <c r="C86" s="185"/>
      <c r="D86" s="185"/>
      <c r="E86" s="185"/>
      <c r="F86" s="185"/>
      <c r="G86" s="185"/>
      <c r="H86" s="136"/>
    </row>
    <row r="87" spans="1:8" ht="12.75" hidden="1" customHeight="1" outlineLevel="2" x14ac:dyDescent="0.2">
      <c r="A87" s="144" t="str">
        <f>"         "&amp;Labels!B217</f>
        <v xml:space="preserve">         Dir Material</v>
      </c>
      <c r="B87" s="135">
        <f t="shared" ref="B87:G90" si="21">SUM(B55,B71)</f>
        <v>0</v>
      </c>
      <c r="C87" s="135">
        <f t="shared" si="21"/>
        <v>0</v>
      </c>
      <c r="D87" s="135">
        <f t="shared" si="21"/>
        <v>0</v>
      </c>
      <c r="E87" s="135">
        <f t="shared" si="21"/>
        <v>0</v>
      </c>
      <c r="F87" s="135">
        <f t="shared" si="21"/>
        <v>0</v>
      </c>
      <c r="G87" s="135">
        <f t="shared" si="21"/>
        <v>0</v>
      </c>
      <c r="H87" s="136">
        <f>SUM(B87:G87)</f>
        <v>0</v>
      </c>
    </row>
    <row r="88" spans="1:8" ht="12.75" hidden="1" customHeight="1" outlineLevel="2" x14ac:dyDescent="0.2">
      <c r="A88" s="144" t="str">
        <f>"         "&amp;Labels!B218</f>
        <v xml:space="preserve">         Dir Labor</v>
      </c>
      <c r="B88" s="135">
        <f t="shared" si="21"/>
        <v>0</v>
      </c>
      <c r="C88" s="135">
        <f t="shared" si="21"/>
        <v>0</v>
      </c>
      <c r="D88" s="135">
        <f t="shared" si="21"/>
        <v>0</v>
      </c>
      <c r="E88" s="135">
        <f t="shared" si="21"/>
        <v>0</v>
      </c>
      <c r="F88" s="135">
        <f t="shared" si="21"/>
        <v>0</v>
      </c>
      <c r="G88" s="135">
        <f t="shared" si="21"/>
        <v>0</v>
      </c>
      <c r="H88" s="136">
        <f>SUM(B88:G88)</f>
        <v>0</v>
      </c>
    </row>
    <row r="89" spans="1:8" ht="12.75" hidden="1" customHeight="1" outlineLevel="2" x14ac:dyDescent="0.2">
      <c r="A89" s="144" t="str">
        <f>"         "&amp;Labels!B219</f>
        <v xml:space="preserve">         Dir Overhead</v>
      </c>
      <c r="B89" s="135">
        <f t="shared" si="21"/>
        <v>0</v>
      </c>
      <c r="C89" s="135">
        <f t="shared" si="21"/>
        <v>0</v>
      </c>
      <c r="D89" s="135">
        <f t="shared" si="21"/>
        <v>0</v>
      </c>
      <c r="E89" s="135">
        <f t="shared" si="21"/>
        <v>0</v>
      </c>
      <c r="F89" s="135">
        <f t="shared" si="21"/>
        <v>0</v>
      </c>
      <c r="G89" s="135">
        <f t="shared" si="21"/>
        <v>0</v>
      </c>
      <c r="H89" s="136">
        <f>SUM(B89:G89)</f>
        <v>0</v>
      </c>
    </row>
    <row r="90" spans="1:8" ht="12.75" hidden="1" customHeight="1" outlineLevel="2" x14ac:dyDescent="0.2">
      <c r="A90" s="144" t="str">
        <f>"         "&amp;Labels!C216</f>
        <v xml:space="preserve">         Total</v>
      </c>
      <c r="B90" s="185">
        <f t="shared" si="21"/>
        <v>0</v>
      </c>
      <c r="C90" s="185">
        <f t="shared" si="21"/>
        <v>0</v>
      </c>
      <c r="D90" s="185">
        <f t="shared" si="21"/>
        <v>0</v>
      </c>
      <c r="E90" s="185">
        <f t="shared" si="21"/>
        <v>0</v>
      </c>
      <c r="F90" s="185">
        <f t="shared" si="21"/>
        <v>0</v>
      </c>
      <c r="G90" s="185">
        <f t="shared" si="21"/>
        <v>0</v>
      </c>
      <c r="H90" s="136">
        <f>SUM(B90:G90)</f>
        <v>0</v>
      </c>
    </row>
    <row r="91" spans="1:8" ht="12.75" hidden="1" customHeight="1" outlineLevel="2" x14ac:dyDescent="0.2">
      <c r="A91" s="144" t="str">
        <f>"      "&amp;Labels!B260</f>
        <v xml:space="preserve">      Location 2</v>
      </c>
      <c r="B91" s="185"/>
      <c r="C91" s="185"/>
      <c r="D91" s="185"/>
      <c r="E91" s="185"/>
      <c r="F91" s="185"/>
      <c r="G91" s="185"/>
      <c r="H91" s="136"/>
    </row>
    <row r="92" spans="1:8" ht="12.75" hidden="1" customHeight="1" outlineLevel="2" x14ac:dyDescent="0.2">
      <c r="A92" s="144" t="str">
        <f>"         "&amp;Labels!B217</f>
        <v xml:space="preserve">         Dir Material</v>
      </c>
      <c r="B92" s="135">
        <f t="shared" ref="B92:G99" si="22">SUM(B60,B76)</f>
        <v>0</v>
      </c>
      <c r="C92" s="135">
        <f t="shared" si="22"/>
        <v>0</v>
      </c>
      <c r="D92" s="135">
        <f t="shared" si="22"/>
        <v>0</v>
      </c>
      <c r="E92" s="135">
        <f t="shared" si="22"/>
        <v>0</v>
      </c>
      <c r="F92" s="135">
        <f t="shared" si="22"/>
        <v>0</v>
      </c>
      <c r="G92" s="135">
        <f t="shared" si="22"/>
        <v>0</v>
      </c>
      <c r="H92" s="136">
        <f>SUM(B92:G92)</f>
        <v>0</v>
      </c>
    </row>
    <row r="93" spans="1:8" ht="12.75" hidden="1" customHeight="1" outlineLevel="2" x14ac:dyDescent="0.2">
      <c r="A93" s="144" t="str">
        <f>"         "&amp;Labels!B218</f>
        <v xml:space="preserve">         Dir Labor</v>
      </c>
      <c r="B93" s="135">
        <f t="shared" si="22"/>
        <v>0</v>
      </c>
      <c r="C93" s="135">
        <f t="shared" si="22"/>
        <v>0</v>
      </c>
      <c r="D93" s="135">
        <f t="shared" si="22"/>
        <v>0</v>
      </c>
      <c r="E93" s="135">
        <f t="shared" si="22"/>
        <v>0</v>
      </c>
      <c r="F93" s="135">
        <f t="shared" si="22"/>
        <v>0</v>
      </c>
      <c r="G93" s="135">
        <f t="shared" si="22"/>
        <v>0</v>
      </c>
      <c r="H93" s="136">
        <f>SUM(B93:G93)</f>
        <v>0</v>
      </c>
    </row>
    <row r="94" spans="1:8" ht="12.75" hidden="1" customHeight="1" outlineLevel="2" x14ac:dyDescent="0.2">
      <c r="A94" s="144" t="str">
        <f>"         "&amp;Labels!B219</f>
        <v xml:space="preserve">         Dir Overhead</v>
      </c>
      <c r="B94" s="135">
        <f t="shared" si="22"/>
        <v>0</v>
      </c>
      <c r="C94" s="135">
        <f t="shared" si="22"/>
        <v>0</v>
      </c>
      <c r="D94" s="135">
        <f t="shared" si="22"/>
        <v>0</v>
      </c>
      <c r="E94" s="135">
        <f t="shared" si="22"/>
        <v>0</v>
      </c>
      <c r="F94" s="135">
        <f t="shared" si="22"/>
        <v>0</v>
      </c>
      <c r="G94" s="135">
        <f t="shared" si="22"/>
        <v>0</v>
      </c>
      <c r="H94" s="136">
        <f>SUM(B94:G94)</f>
        <v>0</v>
      </c>
    </row>
    <row r="95" spans="1:8" ht="12.75" hidden="1" customHeight="1" outlineLevel="2" x14ac:dyDescent="0.2">
      <c r="A95" s="144" t="str">
        <f>"         "&amp;Labels!C216</f>
        <v xml:space="preserve">         Total</v>
      </c>
      <c r="B95" s="185">
        <f t="shared" si="22"/>
        <v>0</v>
      </c>
      <c r="C95" s="185">
        <f t="shared" si="22"/>
        <v>0</v>
      </c>
      <c r="D95" s="185">
        <f t="shared" si="22"/>
        <v>0</v>
      </c>
      <c r="E95" s="185">
        <f t="shared" si="22"/>
        <v>0</v>
      </c>
      <c r="F95" s="185">
        <f t="shared" si="22"/>
        <v>0</v>
      </c>
      <c r="G95" s="185">
        <f t="shared" si="22"/>
        <v>0</v>
      </c>
      <c r="H95" s="136">
        <f>SUM(B95:G95)</f>
        <v>0</v>
      </c>
    </row>
    <row r="96" spans="1:8" ht="12.75" hidden="1" customHeight="1" outlineLevel="2" x14ac:dyDescent="0.2">
      <c r="A96" s="142" t="str">
        <f>"      "&amp;Labels!C258</f>
        <v xml:space="preserve">      Total</v>
      </c>
      <c r="B96" s="143">
        <f t="shared" si="22"/>
        <v>0</v>
      </c>
      <c r="C96" s="143">
        <f t="shared" si="22"/>
        <v>0</v>
      </c>
      <c r="D96" s="143">
        <f t="shared" si="22"/>
        <v>0</v>
      </c>
      <c r="E96" s="143">
        <f t="shared" si="22"/>
        <v>0</v>
      </c>
      <c r="F96" s="143">
        <f t="shared" si="22"/>
        <v>0</v>
      </c>
      <c r="G96" s="143">
        <f t="shared" si="22"/>
        <v>0</v>
      </c>
      <c r="H96" s="136">
        <f>SUM(B85:G85)</f>
        <v>0</v>
      </c>
    </row>
    <row r="97" spans="1:8" ht="12.75" hidden="1" customHeight="1" outlineLevel="2" x14ac:dyDescent="0.2">
      <c r="A97" s="144" t="str">
        <f>"         "&amp;Labels!B217</f>
        <v xml:space="preserve">         Dir Material</v>
      </c>
      <c r="B97" s="135">
        <f t="shared" si="22"/>
        <v>0</v>
      </c>
      <c r="C97" s="135">
        <f t="shared" si="22"/>
        <v>0</v>
      </c>
      <c r="D97" s="135">
        <f t="shared" si="22"/>
        <v>0</v>
      </c>
      <c r="E97" s="135">
        <f t="shared" si="22"/>
        <v>0</v>
      </c>
      <c r="F97" s="135">
        <f t="shared" si="22"/>
        <v>0</v>
      </c>
      <c r="G97" s="135">
        <f t="shared" si="22"/>
        <v>0</v>
      </c>
      <c r="H97" s="136">
        <f>SUM(B97:G97)</f>
        <v>0</v>
      </c>
    </row>
    <row r="98" spans="1:8" ht="12.75" hidden="1" customHeight="1" outlineLevel="2" x14ac:dyDescent="0.2">
      <c r="A98" s="144" t="str">
        <f>"         "&amp;Labels!B218</f>
        <v xml:space="preserve">         Dir Labor</v>
      </c>
      <c r="B98" s="135">
        <f t="shared" si="22"/>
        <v>0</v>
      </c>
      <c r="C98" s="135">
        <f t="shared" si="22"/>
        <v>0</v>
      </c>
      <c r="D98" s="135">
        <f t="shared" si="22"/>
        <v>0</v>
      </c>
      <c r="E98" s="135">
        <f t="shared" si="22"/>
        <v>0</v>
      </c>
      <c r="F98" s="135">
        <f t="shared" si="22"/>
        <v>0</v>
      </c>
      <c r="G98" s="135">
        <f t="shared" si="22"/>
        <v>0</v>
      </c>
      <c r="H98" s="136">
        <f>SUM(B98:G98)</f>
        <v>0</v>
      </c>
    </row>
    <row r="99" spans="1:8" ht="12.75" hidden="1" customHeight="1" outlineLevel="2" x14ac:dyDescent="0.2">
      <c r="A99" s="144" t="str">
        <f>"         "&amp;Labels!B219</f>
        <v xml:space="preserve">         Dir Overhead</v>
      </c>
      <c r="B99" s="135">
        <f t="shared" si="22"/>
        <v>0</v>
      </c>
      <c r="C99" s="135">
        <f t="shared" si="22"/>
        <v>0</v>
      </c>
      <c r="D99" s="135">
        <f t="shared" si="22"/>
        <v>0</v>
      </c>
      <c r="E99" s="135">
        <f t="shared" si="22"/>
        <v>0</v>
      </c>
      <c r="F99" s="135">
        <f t="shared" si="22"/>
        <v>0</v>
      </c>
      <c r="G99" s="135">
        <f t="shared" si="22"/>
        <v>0</v>
      </c>
      <c r="H99" s="136">
        <f>SUM(B99:G99)</f>
        <v>0</v>
      </c>
    </row>
    <row r="100" spans="1:8" ht="12.75" hidden="1" customHeight="1" outlineLevel="2" x14ac:dyDescent="0.2">
      <c r="A100" s="186" t="str">
        <f>"         "&amp;Labels!C216</f>
        <v xml:space="preserve">         Total</v>
      </c>
      <c r="B100" s="187">
        <f t="shared" ref="B100:G100" si="23">SUM(B64,B80)</f>
        <v>0</v>
      </c>
      <c r="C100" s="187">
        <f t="shared" si="23"/>
        <v>0</v>
      </c>
      <c r="D100" s="187">
        <f t="shared" si="23"/>
        <v>0</v>
      </c>
      <c r="E100" s="187">
        <f t="shared" si="23"/>
        <v>0</v>
      </c>
      <c r="F100" s="187">
        <f t="shared" si="23"/>
        <v>0</v>
      </c>
      <c r="G100" s="187">
        <f t="shared" si="23"/>
        <v>0</v>
      </c>
      <c r="H100" s="146">
        <f>SUM(B85:G85)</f>
        <v>0</v>
      </c>
    </row>
    <row r="101" spans="1:8" ht="12.75" hidden="1" customHeight="1" outlineLevel="2" collapsed="1" x14ac:dyDescent="0.2"/>
    <row r="102" spans="1:8" ht="12.75" hidden="1" customHeight="1" outlineLevel="1" collapsed="1" x14ac:dyDescent="0.2"/>
    <row r="103" spans="1:8" ht="12.75" customHeight="1" collapsed="1" x14ac:dyDescent="0.2"/>
    <row r="104" spans="1:8" ht="12.75" customHeight="1" x14ac:dyDescent="0.2">
      <c r="A104" s="322" t="str">
        <f>"Direct Cost - Production"</f>
        <v>Direct Cost - Production</v>
      </c>
      <c r="B104" s="322"/>
    </row>
    <row r="105" spans="1:8" ht="12.75" hidden="1" customHeight="1" outlineLevel="1" x14ac:dyDescent="0.2">
      <c r="A105" s="3" t="str">
        <f>"Summary"</f>
        <v>Summary</v>
      </c>
    </row>
    <row r="106" spans="1:8" ht="12.75" hidden="1" customHeight="1" outlineLevel="2" x14ac:dyDescent="0.2">
      <c r="A106" s="3" t="str">
        <f>""</f>
        <v/>
      </c>
    </row>
    <row r="107" spans="1:8" ht="12.75" hidden="1" customHeight="1" outlineLevel="2" x14ac:dyDescent="0.2">
      <c r="B107" s="10" t="str">
        <f>'(FnCalls 1)'!F41</f>
        <v>MMM 2011</v>
      </c>
      <c r="C107" s="11" t="str">
        <f>'(FnCalls 1)'!F42</f>
        <v>MMM 2011</v>
      </c>
      <c r="D107" s="11" t="str">
        <f>'(FnCalls 1)'!F43</f>
        <v>MMM 2011</v>
      </c>
      <c r="E107" s="11" t="str">
        <f>'(FnCalls 1)'!F44</f>
        <v>MMM 2011</v>
      </c>
      <c r="F107" s="11" t="str">
        <f>'(FnCalls 1)'!F45</f>
        <v>MMM 2011</v>
      </c>
      <c r="G107" s="11" t="str">
        <f>'(FnCalls 1)'!F46</f>
        <v>MMM 2011</v>
      </c>
      <c r="H107" s="94" t="str">
        <f>'(FnCalls 1)'!H41</f>
        <v>2011</v>
      </c>
    </row>
    <row r="108" spans="1:8" ht="12.75" hidden="1" customHeight="1" outlineLevel="2" x14ac:dyDescent="0.2">
      <c r="A108" s="128" t="str">
        <f>Labels!B119</f>
        <v>Production Units</v>
      </c>
      <c r="B108" s="169"/>
      <c r="C108" s="169"/>
      <c r="D108" s="169"/>
      <c r="E108" s="169"/>
      <c r="F108" s="169"/>
      <c r="G108" s="169"/>
      <c r="H108" s="170"/>
    </row>
    <row r="109" spans="1:8" ht="12.75" hidden="1" customHeight="1" outlineLevel="2" x14ac:dyDescent="0.2">
      <c r="A109" s="142" t="str">
        <f>"   "&amp;Labels!B255</f>
        <v xml:space="preserve">   Product 1</v>
      </c>
      <c r="B109" s="171">
        <f>Sales!B67+'(Compute)'!B13-'(Tables)'!B143</f>
        <v>0</v>
      </c>
      <c r="C109" s="171">
        <f>Sales!C67+'(Compute)'!C13-Assets!C24</f>
        <v>0</v>
      </c>
      <c r="D109" s="171">
        <f>Sales!D67+'(Compute)'!D13-Assets!D24</f>
        <v>0</v>
      </c>
      <c r="E109" s="171">
        <f>Sales!E67+'(Compute)'!E13-Assets!E24</f>
        <v>0</v>
      </c>
      <c r="F109" s="171">
        <f>Sales!F67+'(Compute)'!F13-Assets!F24</f>
        <v>0</v>
      </c>
      <c r="G109" s="171">
        <f>Sales!G67+'(Compute)'!G13-Assets!G24</f>
        <v>0</v>
      </c>
      <c r="H109" s="172">
        <f>SUM(B109:G109)</f>
        <v>0</v>
      </c>
    </row>
    <row r="110" spans="1:8" ht="12.75" hidden="1" customHeight="1" outlineLevel="2" x14ac:dyDescent="0.2">
      <c r="A110" s="142" t="str">
        <f>"   "&amp;Labels!B256</f>
        <v xml:space="preserve">   Product 2</v>
      </c>
      <c r="B110" s="171">
        <f>Sales!B71+'(Compute)'!B17-'(Tables)'!B144</f>
        <v>0</v>
      </c>
      <c r="C110" s="171">
        <f>Sales!C71+'(Compute)'!C17-Assets!C28</f>
        <v>0</v>
      </c>
      <c r="D110" s="171">
        <f>Sales!D71+'(Compute)'!D17-Assets!D28</f>
        <v>0</v>
      </c>
      <c r="E110" s="171">
        <f>Sales!E71+'(Compute)'!E17-Assets!E28</f>
        <v>0</v>
      </c>
      <c r="F110" s="171">
        <f>Sales!F71+'(Compute)'!F17-Assets!F28</f>
        <v>0</v>
      </c>
      <c r="G110" s="171">
        <f>Sales!G71+'(Compute)'!G17-Assets!G28</f>
        <v>0</v>
      </c>
      <c r="H110" s="172">
        <f>SUM(B110:G110)</f>
        <v>0</v>
      </c>
    </row>
    <row r="111" spans="1:8" ht="12.75" hidden="1" customHeight="1" outlineLevel="2" x14ac:dyDescent="0.2">
      <c r="A111" s="134" t="str">
        <f>"   "&amp;Labels!C254</f>
        <v xml:space="preserve">   Total</v>
      </c>
      <c r="B111" s="174">
        <f t="shared" ref="B111:G111" si="24">SUM(B109:B110)</f>
        <v>0</v>
      </c>
      <c r="C111" s="174">
        <f t="shared" si="24"/>
        <v>0</v>
      </c>
      <c r="D111" s="174">
        <f t="shared" si="24"/>
        <v>0</v>
      </c>
      <c r="E111" s="174">
        <f t="shared" si="24"/>
        <v>0</v>
      </c>
      <c r="F111" s="174">
        <f t="shared" si="24"/>
        <v>0</v>
      </c>
      <c r="G111" s="174">
        <f t="shared" si="24"/>
        <v>0</v>
      </c>
      <c r="H111" s="172">
        <f>SUM(B111:G111)</f>
        <v>0</v>
      </c>
    </row>
    <row r="112" spans="1:8" ht="12.75" hidden="1" customHeight="1" outlineLevel="2" x14ac:dyDescent="0.2">
      <c r="A112" s="91"/>
      <c r="B112" s="6"/>
      <c r="C112" s="6"/>
      <c r="D112" s="6"/>
      <c r="E112" s="6"/>
      <c r="F112" s="6"/>
      <c r="G112" s="6"/>
      <c r="H112" s="91"/>
    </row>
    <row r="113" spans="1:8" ht="12.75" hidden="1" customHeight="1" outlineLevel="2" x14ac:dyDescent="0.2">
      <c r="A113" s="134" t="str">
        <f>Labels!B56</f>
        <v>Direct Cost - Products</v>
      </c>
      <c r="B113" s="145"/>
      <c r="C113" s="145"/>
      <c r="D113" s="145"/>
      <c r="E113" s="145"/>
      <c r="F113" s="145"/>
      <c r="G113" s="145"/>
      <c r="H113" s="136"/>
    </row>
    <row r="114" spans="1:8" ht="12.75" hidden="1" customHeight="1" outlineLevel="2" x14ac:dyDescent="0.2">
      <c r="A114" s="142" t="str">
        <f>"   "&amp;Labels!B255</f>
        <v xml:space="preserve">   Product 1</v>
      </c>
      <c r="B114" s="143"/>
      <c r="C114" s="143"/>
      <c r="D114" s="143"/>
      <c r="E114" s="143"/>
      <c r="F114" s="143"/>
      <c r="G114" s="143"/>
      <c r="H114" s="136"/>
    </row>
    <row r="115" spans="1:8" ht="12.75" hidden="1" customHeight="1" outlineLevel="2" x14ac:dyDescent="0.2">
      <c r="A115" s="144" t="str">
        <f>"      "&amp;Labels!B217</f>
        <v xml:space="preserve">      Dir Material</v>
      </c>
      <c r="B115" s="185">
        <f>(SUM('(Tables)'!B122:B124)*B109)/3</f>
        <v>0</v>
      </c>
      <c r="C115" s="185">
        <f>(SUM('(Tables)'!C122:C124)*C109)/3</f>
        <v>0</v>
      </c>
      <c r="D115" s="185">
        <f>(SUM('(Tables)'!D122:D124)*D109)/3</f>
        <v>0</v>
      </c>
      <c r="E115" s="185">
        <f>(SUM('(Tables)'!E122:E124)*E109)/3</f>
        <v>0</v>
      </c>
      <c r="F115" s="185">
        <f>(SUM('(Tables)'!F122:F124)*F109)/3</f>
        <v>0</v>
      </c>
      <c r="G115" s="185">
        <f>(SUM('(Tables)'!G122:G124)*G109)/3</f>
        <v>0</v>
      </c>
      <c r="H115" s="136">
        <f>SUM(B115:G115)</f>
        <v>0</v>
      </c>
    </row>
    <row r="116" spans="1:8" ht="12.75" hidden="1" customHeight="1" outlineLevel="2" x14ac:dyDescent="0.2">
      <c r="A116" s="144" t="str">
        <f>"      "&amp;Labels!B218</f>
        <v xml:space="preserve">      Dir Labor</v>
      </c>
      <c r="B116" s="185">
        <f>(SUM('(Tables)'!B122:B124)*B109)/3</f>
        <v>0</v>
      </c>
      <c r="C116" s="185">
        <f>(SUM('(Tables)'!C122:C124)*C109)/3</f>
        <v>0</v>
      </c>
      <c r="D116" s="185">
        <f>(SUM('(Tables)'!D122:D124)*D109)/3</f>
        <v>0</v>
      </c>
      <c r="E116" s="185">
        <f>(SUM('(Tables)'!E122:E124)*E109)/3</f>
        <v>0</v>
      </c>
      <c r="F116" s="185">
        <f>(SUM('(Tables)'!F122:F124)*F109)/3</f>
        <v>0</v>
      </c>
      <c r="G116" s="185">
        <f>(SUM('(Tables)'!G122:G124)*G109)/3</f>
        <v>0</v>
      </c>
      <c r="H116" s="136">
        <f>SUM(B116:G116)</f>
        <v>0</v>
      </c>
    </row>
    <row r="117" spans="1:8" ht="12.75" hidden="1" customHeight="1" outlineLevel="2" x14ac:dyDescent="0.2">
      <c r="A117" s="144" t="str">
        <f>"      "&amp;Labels!B219</f>
        <v xml:space="preserve">      Dir Overhead</v>
      </c>
      <c r="B117" s="185">
        <f>(SUM('(Tables)'!B122:B124)*B109)/3</f>
        <v>0</v>
      </c>
      <c r="C117" s="185">
        <f>(SUM('(Tables)'!C122:C124)*C109)/3</f>
        <v>0</v>
      </c>
      <c r="D117" s="185">
        <f>(SUM('(Tables)'!D122:D124)*D109)/3</f>
        <v>0</v>
      </c>
      <c r="E117" s="185">
        <f>(SUM('(Tables)'!E122:E124)*E109)/3</f>
        <v>0</v>
      </c>
      <c r="F117" s="185">
        <f>(SUM('(Tables)'!F122:F124)*F109)/3</f>
        <v>0</v>
      </c>
      <c r="G117" s="185">
        <f>(SUM('(Tables)'!G122:G124)*G109)/3</f>
        <v>0</v>
      </c>
      <c r="H117" s="136">
        <f>SUM(B117:G117)</f>
        <v>0</v>
      </c>
    </row>
    <row r="118" spans="1:8" ht="12.75" hidden="1" customHeight="1" outlineLevel="2" x14ac:dyDescent="0.2">
      <c r="A118" s="142" t="str">
        <f>"      "&amp;Labels!C216</f>
        <v xml:space="preserve">      Total</v>
      </c>
      <c r="B118" s="143">
        <f t="shared" ref="B118:G118" si="25">SUM(B115:B117)</f>
        <v>0</v>
      </c>
      <c r="C118" s="143">
        <f t="shared" si="25"/>
        <v>0</v>
      </c>
      <c r="D118" s="143">
        <f t="shared" si="25"/>
        <v>0</v>
      </c>
      <c r="E118" s="143">
        <f t="shared" si="25"/>
        <v>0</v>
      </c>
      <c r="F118" s="143">
        <f t="shared" si="25"/>
        <v>0</v>
      </c>
      <c r="G118" s="143">
        <f t="shared" si="25"/>
        <v>0</v>
      </c>
      <c r="H118" s="136">
        <f>SUM(B118:G118)</f>
        <v>0</v>
      </c>
    </row>
    <row r="119" spans="1:8" ht="12.75" hidden="1" customHeight="1" outlineLevel="2" x14ac:dyDescent="0.2">
      <c r="A119" s="142" t="str">
        <f>"   "&amp;Labels!B256</f>
        <v xml:space="preserve">   Product 2</v>
      </c>
      <c r="B119" s="143"/>
      <c r="C119" s="143"/>
      <c r="D119" s="143"/>
      <c r="E119" s="143"/>
      <c r="F119" s="143"/>
      <c r="G119" s="143"/>
      <c r="H119" s="136"/>
    </row>
    <row r="120" spans="1:8" ht="12.75" hidden="1" customHeight="1" outlineLevel="2" x14ac:dyDescent="0.2">
      <c r="A120" s="144" t="str">
        <f>"      "&amp;Labels!B217</f>
        <v xml:space="preserve">      Dir Material</v>
      </c>
      <c r="B120" s="185">
        <f>(SUM('(Tables)'!B127:B129)*B110)/3</f>
        <v>0</v>
      </c>
      <c r="C120" s="185">
        <f>(SUM('(Tables)'!C127:C129)*C110)/3</f>
        <v>0</v>
      </c>
      <c r="D120" s="185">
        <f>(SUM('(Tables)'!D127:D129)*D110)/3</f>
        <v>0</v>
      </c>
      <c r="E120" s="185">
        <f>(SUM('(Tables)'!E127:E129)*E110)/3</f>
        <v>0</v>
      </c>
      <c r="F120" s="185">
        <f>(SUM('(Tables)'!F127:F129)*F110)/3</f>
        <v>0</v>
      </c>
      <c r="G120" s="185">
        <f>(SUM('(Tables)'!G127:G129)*G110)/3</f>
        <v>0</v>
      </c>
      <c r="H120" s="136">
        <f t="shared" ref="H120:H127" si="26">SUM(B120:G120)</f>
        <v>0</v>
      </c>
    </row>
    <row r="121" spans="1:8" ht="12.75" hidden="1" customHeight="1" outlineLevel="2" x14ac:dyDescent="0.2">
      <c r="A121" s="144" t="str">
        <f>"      "&amp;Labels!B218</f>
        <v xml:space="preserve">      Dir Labor</v>
      </c>
      <c r="B121" s="185">
        <f>(SUM('(Tables)'!B127:B129)*B110)/3</f>
        <v>0</v>
      </c>
      <c r="C121" s="185">
        <f>(SUM('(Tables)'!C127:C129)*C110)/3</f>
        <v>0</v>
      </c>
      <c r="D121" s="185">
        <f>(SUM('(Tables)'!D127:D129)*D110)/3</f>
        <v>0</v>
      </c>
      <c r="E121" s="185">
        <f>(SUM('(Tables)'!E127:E129)*E110)/3</f>
        <v>0</v>
      </c>
      <c r="F121" s="185">
        <f>(SUM('(Tables)'!F127:F129)*F110)/3</f>
        <v>0</v>
      </c>
      <c r="G121" s="185">
        <f>(SUM('(Tables)'!G127:G129)*G110)/3</f>
        <v>0</v>
      </c>
      <c r="H121" s="136">
        <f t="shared" si="26"/>
        <v>0</v>
      </c>
    </row>
    <row r="122" spans="1:8" ht="12.75" hidden="1" customHeight="1" outlineLevel="2" x14ac:dyDescent="0.2">
      <c r="A122" s="144" t="str">
        <f>"      "&amp;Labels!B219</f>
        <v xml:space="preserve">      Dir Overhead</v>
      </c>
      <c r="B122" s="185">
        <f>(SUM('(Tables)'!B127:B129)*B110)/3</f>
        <v>0</v>
      </c>
      <c r="C122" s="185">
        <f>(SUM('(Tables)'!C127:C129)*C110)/3</f>
        <v>0</v>
      </c>
      <c r="D122" s="185">
        <f>(SUM('(Tables)'!D127:D129)*D110)/3</f>
        <v>0</v>
      </c>
      <c r="E122" s="185">
        <f>(SUM('(Tables)'!E127:E129)*E110)/3</f>
        <v>0</v>
      </c>
      <c r="F122" s="185">
        <f>(SUM('(Tables)'!F127:F129)*F110)/3</f>
        <v>0</v>
      </c>
      <c r="G122" s="185">
        <f>(SUM('(Tables)'!G127:G129)*G110)/3</f>
        <v>0</v>
      </c>
      <c r="H122" s="136">
        <f t="shared" si="26"/>
        <v>0</v>
      </c>
    </row>
    <row r="123" spans="1:8" ht="12.75" hidden="1" customHeight="1" outlineLevel="2" x14ac:dyDescent="0.2">
      <c r="A123" s="142" t="str">
        <f>"      "&amp;Labels!C216</f>
        <v xml:space="preserve">      Total</v>
      </c>
      <c r="B123" s="143">
        <f t="shared" ref="B123:G123" si="27">SUM(B120:B122)</f>
        <v>0</v>
      </c>
      <c r="C123" s="143">
        <f t="shared" si="27"/>
        <v>0</v>
      </c>
      <c r="D123" s="143">
        <f t="shared" si="27"/>
        <v>0</v>
      </c>
      <c r="E123" s="143">
        <f t="shared" si="27"/>
        <v>0</v>
      </c>
      <c r="F123" s="143">
        <f t="shared" si="27"/>
        <v>0</v>
      </c>
      <c r="G123" s="143">
        <f t="shared" si="27"/>
        <v>0</v>
      </c>
      <c r="H123" s="136">
        <f t="shared" si="26"/>
        <v>0</v>
      </c>
    </row>
    <row r="124" spans="1:8" ht="12.75" hidden="1" customHeight="1" outlineLevel="2" x14ac:dyDescent="0.2">
      <c r="A124" s="134" t="str">
        <f>"   "&amp;Labels!C254</f>
        <v xml:space="preserve">   Total</v>
      </c>
      <c r="B124" s="145">
        <f t="shared" ref="B124:G124" si="28">SUM(B118,B123)</f>
        <v>0</v>
      </c>
      <c r="C124" s="145">
        <f t="shared" si="28"/>
        <v>0</v>
      </c>
      <c r="D124" s="145">
        <f t="shared" si="28"/>
        <v>0</v>
      </c>
      <c r="E124" s="145">
        <f t="shared" si="28"/>
        <v>0</v>
      </c>
      <c r="F124" s="145">
        <f t="shared" si="28"/>
        <v>0</v>
      </c>
      <c r="G124" s="145">
        <f t="shared" si="28"/>
        <v>0</v>
      </c>
      <c r="H124" s="136">
        <f t="shared" si="26"/>
        <v>0</v>
      </c>
    </row>
    <row r="125" spans="1:8" ht="12.75" hidden="1" customHeight="1" outlineLevel="2" x14ac:dyDescent="0.2">
      <c r="A125" s="144" t="str">
        <f>"      "&amp;Labels!B217</f>
        <v xml:space="preserve">      Dir Material</v>
      </c>
      <c r="B125" s="185">
        <f t="shared" ref="B125:G128" si="29">SUM(B115,B120)</f>
        <v>0</v>
      </c>
      <c r="C125" s="185">
        <f t="shared" si="29"/>
        <v>0</v>
      </c>
      <c r="D125" s="185">
        <f t="shared" si="29"/>
        <v>0</v>
      </c>
      <c r="E125" s="185">
        <f t="shared" si="29"/>
        <v>0</v>
      </c>
      <c r="F125" s="185">
        <f t="shared" si="29"/>
        <v>0</v>
      </c>
      <c r="G125" s="185">
        <f t="shared" si="29"/>
        <v>0</v>
      </c>
      <c r="H125" s="136">
        <f t="shared" si="26"/>
        <v>0</v>
      </c>
    </row>
    <row r="126" spans="1:8" ht="12.75" hidden="1" customHeight="1" outlineLevel="2" x14ac:dyDescent="0.2">
      <c r="A126" s="144" t="str">
        <f>"      "&amp;Labels!B218</f>
        <v xml:space="preserve">      Dir Labor</v>
      </c>
      <c r="B126" s="185">
        <f t="shared" si="29"/>
        <v>0</v>
      </c>
      <c r="C126" s="185">
        <f t="shared" si="29"/>
        <v>0</v>
      </c>
      <c r="D126" s="185">
        <f t="shared" si="29"/>
        <v>0</v>
      </c>
      <c r="E126" s="185">
        <f t="shared" si="29"/>
        <v>0</v>
      </c>
      <c r="F126" s="185">
        <f t="shared" si="29"/>
        <v>0</v>
      </c>
      <c r="G126" s="185">
        <f t="shared" si="29"/>
        <v>0</v>
      </c>
      <c r="H126" s="136">
        <f t="shared" si="26"/>
        <v>0</v>
      </c>
    </row>
    <row r="127" spans="1:8" ht="12.75" hidden="1" customHeight="1" outlineLevel="2" x14ac:dyDescent="0.2">
      <c r="A127" s="144" t="str">
        <f>"      "&amp;Labels!B219</f>
        <v xml:space="preserve">      Dir Overhead</v>
      </c>
      <c r="B127" s="185">
        <f t="shared" si="29"/>
        <v>0</v>
      </c>
      <c r="C127" s="185">
        <f t="shared" si="29"/>
        <v>0</v>
      </c>
      <c r="D127" s="185">
        <f t="shared" si="29"/>
        <v>0</v>
      </c>
      <c r="E127" s="185">
        <f t="shared" si="29"/>
        <v>0</v>
      </c>
      <c r="F127" s="185">
        <f t="shared" si="29"/>
        <v>0</v>
      </c>
      <c r="G127" s="185">
        <f t="shared" si="29"/>
        <v>0</v>
      </c>
      <c r="H127" s="136">
        <f t="shared" si="26"/>
        <v>0</v>
      </c>
    </row>
    <row r="128" spans="1:8" ht="12.75" hidden="1" customHeight="1" outlineLevel="2" x14ac:dyDescent="0.2">
      <c r="A128" s="163" t="str">
        <f>"      "&amp;Labels!C216</f>
        <v xml:space="preserve">      Total</v>
      </c>
      <c r="B128" s="164">
        <f t="shared" si="29"/>
        <v>0</v>
      </c>
      <c r="C128" s="164">
        <f t="shared" si="29"/>
        <v>0</v>
      </c>
      <c r="D128" s="164">
        <f t="shared" si="29"/>
        <v>0</v>
      </c>
      <c r="E128" s="164">
        <f t="shared" si="29"/>
        <v>0</v>
      </c>
      <c r="F128" s="164">
        <f t="shared" si="29"/>
        <v>0</v>
      </c>
      <c r="G128" s="164">
        <f t="shared" si="29"/>
        <v>0</v>
      </c>
      <c r="H128" s="146">
        <f>SUM(B124:G124)</f>
        <v>0</v>
      </c>
    </row>
    <row r="129" ht="12.75" hidden="1" customHeight="1" outlineLevel="2" collapsed="1" x14ac:dyDescent="0.2"/>
    <row r="130" ht="12.75" hidden="1" customHeight="1" outlineLevel="1" collapsed="1" x14ac:dyDescent="0.2"/>
    <row r="131" ht="12.75" customHeight="1" collapsed="1" x14ac:dyDescent="0.2"/>
  </sheetData>
  <mergeCells count="11">
    <mergeCell ref="A1:D1"/>
    <mergeCell ref="A2:D2"/>
    <mergeCell ref="A3:D3"/>
    <mergeCell ref="A4:D4"/>
    <mergeCell ref="A11:B11"/>
    <mergeCell ref="A104:B104"/>
    <mergeCell ref="A12:B12"/>
    <mergeCell ref="A30:B30"/>
    <mergeCell ref="A31:B31"/>
    <mergeCell ref="A47:C47"/>
    <mergeCell ref="A48:C48"/>
  </mergeCells>
  <pageMargins left="0.25" right="0.25" top="0.5" bottom="0.5" header="0.5" footer="0.5"/>
  <pageSetup paperSize="9" fitToHeight="32767" orientation="landscape" horizontalDpi="300" verticalDpi="300"/>
  <headerFooter alignWithMargins="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8DF29346-ED97-4AD6-A566-8271DA23A4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110</vt:i4>
      </vt:variant>
    </vt:vector>
  </HeadingPairs>
  <TitlesOfParts>
    <vt:vector size="133" baseType="lpstr">
      <vt:lpstr>Intro</vt:lpstr>
      <vt:lpstr>Graphs</vt:lpstr>
      <vt:lpstr>Inputs</vt:lpstr>
      <vt:lpstr>IncStmt</vt:lpstr>
      <vt:lpstr>BalSht</vt:lpstr>
      <vt:lpstr>CFStmt</vt:lpstr>
      <vt:lpstr>RatioRpt</vt:lpstr>
      <vt:lpstr>Sales</vt:lpstr>
      <vt:lpstr>Cogs GM</vt:lpstr>
      <vt:lpstr>OpExp</vt:lpstr>
      <vt:lpstr>Indirect Labor</vt:lpstr>
      <vt:lpstr>FinTax</vt:lpstr>
      <vt:lpstr>Assets</vt:lpstr>
      <vt:lpstr>Liab</vt:lpstr>
      <vt:lpstr>Equity</vt:lpstr>
      <vt:lpstr>Formulas</vt:lpstr>
      <vt:lpstr>Plot Support</vt:lpstr>
      <vt:lpstr>(Compute)</vt:lpstr>
      <vt:lpstr>(FnCalls 1)</vt:lpstr>
      <vt:lpstr>(Tables)</vt:lpstr>
      <vt:lpstr>Labels</vt:lpstr>
      <vt:lpstr>(Ranges)</vt:lpstr>
      <vt:lpstr>(Import)</vt:lpstr>
      <vt:lpstr>Assets_Assets</vt:lpstr>
      <vt:lpstr>Assets_Assets_Long</vt:lpstr>
      <vt:lpstr>Assets_Assets_Short</vt:lpstr>
      <vt:lpstr>Assets_Assets_Short_AcctsRec</vt:lpstr>
      <vt:lpstr>Assets_Assets_Short_Cash</vt:lpstr>
      <vt:lpstr>Assets_Assets_Short_Inventory</vt:lpstr>
      <vt:lpstr>Assets_Date</vt:lpstr>
      <vt:lpstr>Assets_Time_Period</vt:lpstr>
      <vt:lpstr>Depts_plt</vt:lpstr>
      <vt:lpstr>Employee_Count_Date</vt:lpstr>
      <vt:lpstr>Employee_Count_Depts</vt:lpstr>
      <vt:lpstr>Employee_Count_Depts_Marketing</vt:lpstr>
      <vt:lpstr>Employee_Count_Depts_Marketing_Job_Levels</vt:lpstr>
      <vt:lpstr>Employee_Count_Depts_Marketing_Job_Levels_Job_Level_1</vt:lpstr>
      <vt:lpstr>Employee_Count_Depts_Marketing_Job_Levels_Job_Level_2</vt:lpstr>
      <vt:lpstr>Employee_Count_Depts_Sales</vt:lpstr>
      <vt:lpstr>Employee_Count_Depts_Sales_Job_Levels</vt:lpstr>
      <vt:lpstr>Employee_Count_Depts_Sales_Job_Levels_Job_Level_1</vt:lpstr>
      <vt:lpstr>Employee_Count_Depts_Sales_Job_Levels_Job_Level_2</vt:lpstr>
      <vt:lpstr>Employee_Count_Time_Period</vt:lpstr>
      <vt:lpstr>Employee_Count1_K_off_Date</vt:lpstr>
      <vt:lpstr>Employee_Count1_K_off_Depts</vt:lpstr>
      <vt:lpstr>Employee_Count1_K_off_Depts_Marketing</vt:lpstr>
      <vt:lpstr>Employee_Count1_K_off_Depts_Marketing_Job_Levels</vt:lpstr>
      <vt:lpstr>Employee_Count1_K_off_Depts_Marketing_Job_Levels_Job_Level_1</vt:lpstr>
      <vt:lpstr>Employee_Count1_K_off_Depts_Marketing_Job_Levels_Job_Level_2</vt:lpstr>
      <vt:lpstr>Employee_Count1_K_off_Depts_Sales</vt:lpstr>
      <vt:lpstr>Employee_Count1_K_off_Depts_Sales_Job_Levels</vt:lpstr>
      <vt:lpstr>Employee_Count1_K_off_Depts_Sales_Job_Levels_Job_Level_1</vt:lpstr>
      <vt:lpstr>Employee_Count1_K_off_Depts_Sales_Job_Levels_Job_Level_2</vt:lpstr>
      <vt:lpstr>Employee_Count1_K_off_Time_Period</vt:lpstr>
      <vt:lpstr>Equity_Date</vt:lpstr>
      <vt:lpstr>Equity_Equity</vt:lpstr>
      <vt:lpstr>Equity_Equity_PaidinCap</vt:lpstr>
      <vt:lpstr>Equity_Equity_RetainedEarnings</vt:lpstr>
      <vt:lpstr>Equity_Time_Period</vt:lpstr>
      <vt:lpstr>Gross_Margin_Date</vt:lpstr>
      <vt:lpstr>Gross_Margin_Prod_Date</vt:lpstr>
      <vt:lpstr>Gross_Margin_Prod_Products</vt:lpstr>
      <vt:lpstr>Gross_Margin_Prod_Products_Product_1</vt:lpstr>
      <vt:lpstr>Gross_Margin_Prod_Products_Product_1_Sales_Locations</vt:lpstr>
      <vt:lpstr>Gross_Margin_Prod_Products_Product_1_Sales_Locations_Location_1</vt:lpstr>
      <vt:lpstr>Gross_Margin_Prod_Products_Product_1_Sales_Locations_Location_2</vt:lpstr>
      <vt:lpstr>Gross_Margin_Prod_Products_Product_2</vt:lpstr>
      <vt:lpstr>Gross_Margin_Prod_Products_Product_2_Sales_Locations</vt:lpstr>
      <vt:lpstr>Gross_Margin_Prod_Products_Product_2_Sales_Locations_Location_1</vt:lpstr>
      <vt:lpstr>Gross_Margin_Prod_Products_Product_2_Sales_Locations_Location_2</vt:lpstr>
      <vt:lpstr>Gross_Margin_Prod_Time_Period</vt:lpstr>
      <vt:lpstr>Gross_Margin_Sales_Locations</vt:lpstr>
      <vt:lpstr>Gross_Margin_Sales_Locations_Location_1</vt:lpstr>
      <vt:lpstr>Gross_Margin_Sales_Locations_Location_2</vt:lpstr>
      <vt:lpstr>Gross_Margin_Time_Period</vt:lpstr>
      <vt:lpstr>Liabilities_Date</vt:lpstr>
      <vt:lpstr>Liabilities_Liabilities</vt:lpstr>
      <vt:lpstr>Liabilities_Liabilities_Long</vt:lpstr>
      <vt:lpstr>Liabilities_Liabilities_Long_Bonds</vt:lpstr>
      <vt:lpstr>Liabilities_Liabilities_Long_Long_Term_Loans</vt:lpstr>
      <vt:lpstr>Liabilities_Liabilities_Short</vt:lpstr>
      <vt:lpstr>Liabilities_Liabilities_Short_AcctsPay</vt:lpstr>
      <vt:lpstr>Liabilities_Liabilities_Short_Deferred_Revenue</vt:lpstr>
      <vt:lpstr>Liabilities_Liabilities_Short_ShortDebt</vt:lpstr>
      <vt:lpstr>Liabilities_Time_Period</vt:lpstr>
      <vt:lpstr>Model_Start_Date</vt:lpstr>
      <vt:lpstr>Net_Income</vt:lpstr>
      <vt:lpstr>Net_Income_Date</vt:lpstr>
      <vt:lpstr>Net_Income_Time_Period</vt:lpstr>
      <vt:lpstr>Operating_Exp_Date</vt:lpstr>
      <vt:lpstr>Operating_Exp_Depts</vt:lpstr>
      <vt:lpstr>Operating_Exp_Depts_Marketing</vt:lpstr>
      <vt:lpstr>Operating_Exp_Depts_Marketing_OpExpType</vt:lpstr>
      <vt:lpstr>Operating_Exp_Depts_Marketing_OpExpType_Dept_Exp_Accts</vt:lpstr>
      <vt:lpstr>Operating_Exp_Depts_Marketing_OpExpType_Employee_Rel_Exp</vt:lpstr>
      <vt:lpstr>Operating_Exp_Depts_Marketing_OpExpType_Facil_Util_Exp</vt:lpstr>
      <vt:lpstr>Operating_Exp_Depts_Marketing_OpExpType_Gen_Admin_Exp</vt:lpstr>
      <vt:lpstr>Operating_Exp_Depts_Marketing_OpExpType_Indir_Labor_Exp</vt:lpstr>
      <vt:lpstr>Operating_Exp_Depts_Marketing_OpExpType_Programs</vt:lpstr>
      <vt:lpstr>Operating_Exp_Depts_Sales</vt:lpstr>
      <vt:lpstr>Operating_Exp_Depts_Sales_OpExpType</vt:lpstr>
      <vt:lpstr>Operating_Exp_Depts_Sales_OpExpType_Dept_Exp_Accts</vt:lpstr>
      <vt:lpstr>Operating_Exp_Depts_Sales_OpExpType_Employee_Rel_Exp</vt:lpstr>
      <vt:lpstr>Operating_Exp_Depts_Sales_OpExpType_Facil_Util_Exp</vt:lpstr>
      <vt:lpstr>Operating_Exp_Depts_Sales_OpExpType_Gen_Admin_Exp</vt:lpstr>
      <vt:lpstr>Operating_Exp_Depts_Sales_OpExpType_Indir_Labor_Exp</vt:lpstr>
      <vt:lpstr>Operating_Exp_Depts_Sales_OpExpType_Programs</vt:lpstr>
      <vt:lpstr>Operating_Exp_Time_Period</vt:lpstr>
      <vt:lpstr>Operating_Margin</vt:lpstr>
      <vt:lpstr>Operating_Margin_Date</vt:lpstr>
      <vt:lpstr>Operating_Margin_Time_Period</vt:lpstr>
      <vt:lpstr>Products_plt</vt:lpstr>
      <vt:lpstr>Revenue_Date</vt:lpstr>
      <vt:lpstr>Revenue_Orders_Date</vt:lpstr>
      <vt:lpstr>Revenue_Orders_Sales_Locations</vt:lpstr>
      <vt:lpstr>Revenue_Orders_Sales_Locations_Location_1</vt:lpstr>
      <vt:lpstr>Revenue_Orders_Sales_Locations_Location_2</vt:lpstr>
      <vt:lpstr>Revenue_Orders_Time_Period</vt:lpstr>
      <vt:lpstr>Revenue_Prod_Date</vt:lpstr>
      <vt:lpstr>Revenue_Prod_Products</vt:lpstr>
      <vt:lpstr>Revenue_Prod_Products_Product_1</vt:lpstr>
      <vt:lpstr>Revenue_Prod_Products_Product_1_Sales_Locations</vt:lpstr>
      <vt:lpstr>Revenue_Prod_Products_Product_1_Sales_Locations_Location_1</vt:lpstr>
      <vt:lpstr>Revenue_Prod_Products_Product_1_Sales_Locations_Location_2</vt:lpstr>
      <vt:lpstr>Revenue_Prod_Products_Product_2</vt:lpstr>
      <vt:lpstr>Revenue_Prod_Products_Product_2_Sales_Locations</vt:lpstr>
      <vt:lpstr>Revenue_Prod_Products_Product_2_Sales_Locations_Location_1</vt:lpstr>
      <vt:lpstr>Revenue_Prod_Products_Product_2_Sales_Locations_Location_2</vt:lpstr>
      <vt:lpstr>Revenue_Prod_Time_Period</vt:lpstr>
      <vt:lpstr>Revenue_Sales_Locations</vt:lpstr>
      <vt:lpstr>Revenue_Sales_Locations_Location_1</vt:lpstr>
      <vt:lpstr>Revenue_Sales_Locations_Location_2</vt:lpstr>
      <vt:lpstr>Revenue_Time_Period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Kenan Çılman</dc:creator>
  <cp:keywords/>
  <cp:lastModifiedBy>Kenan Çılman</cp:lastModifiedBy>
  <cp:lastPrinted>2010-07-11T10:12:31Z</cp:lastPrinted>
  <dcterms:created xsi:type="dcterms:W3CDTF">2014-10-25T20:31:58Z</dcterms:created>
  <dcterms:modified xsi:type="dcterms:W3CDTF">2014-10-25T20:31:58Z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TC102875809990</vt:lpwstr>
  </property>
</Properties>
</file>